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andreabrowne\AppData\Local\Microsoft\Windows\INetCache\Content.Outlook\2R56OVIM\"/>
    </mc:Choice>
  </mc:AlternateContent>
  <xr:revisionPtr revIDLastSave="0" documentId="13_ncr:1_{75021B68-CE3E-420D-A890-E31383F0BC5F}" xr6:coauthVersionLast="47" xr6:coauthVersionMax="47" xr10:uidLastSave="{00000000-0000-0000-0000-000000000000}"/>
  <bookViews>
    <workbookView xWindow="28680" yWindow="-120" windowWidth="29040" windowHeight="15840" xr2:uid="{00000000-000D-0000-FFFF-FFFF00000000}"/>
  </bookViews>
  <sheets>
    <sheet name="CDP PR Cover Sheet" sheetId="23" r:id="rId1"/>
    <sheet name="Residual Progress Summary" sheetId="24" r:id="rId2"/>
    <sheet name="Qualifications Progress Summary" sheetId="25" r:id="rId3"/>
    <sheet name="Prison Service Delivery" sheetId="28" r:id="rId4"/>
    <sheet name="Employers Progress Summary" sheetId="26" r:id="rId5"/>
    <sheet name="Social Inclusion Progress Summa" sheetId="27" r:id="rId6"/>
    <sheet name="Notes" sheetId="15" r:id="rId7"/>
    <sheet name="Prog. Report ERC - 21-22 Quals" sheetId="14" r:id="rId8"/>
    <sheet name="Prog. Report ERC - Resid Quals" sheetId="17" r:id="rId9"/>
    <sheet name="Prog. Report ERC - PSSA" sheetId="10" r:id="rId10"/>
    <sheet name="2021-22 ERC" sheetId="21" r:id="rId11"/>
    <sheet name="Sheet1" sheetId="29" r:id="rId12"/>
  </sheets>
  <definedNames>
    <definedName name="_xlnm.Print_Area" localSheetId="6">Notes!#REF!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45" i="14" l="1"/>
  <c r="P45" i="14"/>
  <c r="S45" i="14"/>
  <c r="R45" i="14"/>
  <c r="S13" i="14"/>
  <c r="R13" i="14"/>
  <c r="Q13" i="14"/>
  <c r="P13" i="14"/>
  <c r="I170" i="21" l="1"/>
  <c r="I169" i="21"/>
  <c r="I168" i="21"/>
  <c r="Y163" i="21"/>
  <c r="Q163" i="21"/>
  <c r="M163" i="21"/>
  <c r="D163" i="21"/>
  <c r="C163" i="21"/>
  <c r="H162" i="21"/>
  <c r="I162" i="21" s="1"/>
  <c r="G162" i="21"/>
  <c r="F162" i="21"/>
  <c r="E162" i="21"/>
  <c r="G161" i="21"/>
  <c r="F161" i="21"/>
  <c r="H161" i="21" s="1"/>
  <c r="I161" i="21" s="1"/>
  <c r="E161" i="21"/>
  <c r="G159" i="21"/>
  <c r="F159" i="21"/>
  <c r="H159" i="21" s="1"/>
  <c r="H158" i="21"/>
  <c r="G158" i="21"/>
  <c r="F158" i="21"/>
  <c r="H157" i="21"/>
  <c r="I157" i="21" s="1"/>
  <c r="G157" i="21"/>
  <c r="F157" i="21"/>
  <c r="E157" i="21"/>
  <c r="Y155" i="21"/>
  <c r="X155" i="21"/>
  <c r="X163" i="21" s="1"/>
  <c r="W155" i="21"/>
  <c r="W163" i="21" s="1"/>
  <c r="V155" i="21"/>
  <c r="V163" i="21" s="1"/>
  <c r="U155" i="21"/>
  <c r="G155" i="21" s="1"/>
  <c r="T155" i="21"/>
  <c r="T163" i="21" s="1"/>
  <c r="S155" i="21"/>
  <c r="S163" i="21" s="1"/>
  <c r="R155" i="21"/>
  <c r="R163" i="21" s="1"/>
  <c r="F155" i="21"/>
  <c r="H155" i="21" s="1"/>
  <c r="E155" i="21"/>
  <c r="E163" i="21" s="1"/>
  <c r="Q154" i="21"/>
  <c r="P154" i="21"/>
  <c r="P163" i="21" s="1"/>
  <c r="O154" i="21"/>
  <c r="O163" i="21" s="1"/>
  <c r="N154" i="21"/>
  <c r="N163" i="21" s="1"/>
  <c r="M154" i="21"/>
  <c r="L154" i="21"/>
  <c r="L163" i="21" s="1"/>
  <c r="K154" i="21"/>
  <c r="K163" i="21" s="1"/>
  <c r="J154" i="21"/>
  <c r="G154" i="21"/>
  <c r="G163" i="21" s="1"/>
  <c r="E154" i="21"/>
  <c r="G153" i="21"/>
  <c r="F153" i="21"/>
  <c r="H153" i="21" s="1"/>
  <c r="I153" i="21" s="1"/>
  <c r="E153" i="21"/>
  <c r="H152" i="21"/>
  <c r="I152" i="21" s="1"/>
  <c r="G152" i="21"/>
  <c r="F152" i="21"/>
  <c r="E152" i="21"/>
  <c r="H151" i="21"/>
  <c r="G151" i="21"/>
  <c r="F151" i="21"/>
  <c r="E151" i="21"/>
  <c r="I151" i="21" s="1"/>
  <c r="G150" i="21"/>
  <c r="F150" i="21"/>
  <c r="H150" i="21" s="1"/>
  <c r="I150" i="21" s="1"/>
  <c r="E150" i="21"/>
  <c r="G149" i="21"/>
  <c r="F149" i="21"/>
  <c r="H149" i="21" s="1"/>
  <c r="I149" i="21" s="1"/>
  <c r="E149" i="21"/>
  <c r="H148" i="21"/>
  <c r="I148" i="21" s="1"/>
  <c r="G148" i="21"/>
  <c r="F148" i="21"/>
  <c r="E148" i="21"/>
  <c r="H147" i="21"/>
  <c r="G147" i="21"/>
  <c r="F147" i="21"/>
  <c r="E147" i="21"/>
  <c r="I147" i="21" s="1"/>
  <c r="G146" i="21"/>
  <c r="F146" i="21"/>
  <c r="H146" i="21" s="1"/>
  <c r="I146" i="21" s="1"/>
  <c r="E146" i="21"/>
  <c r="G145" i="21"/>
  <c r="F145" i="21"/>
  <c r="H145" i="21" s="1"/>
  <c r="I145" i="21" s="1"/>
  <c r="E145" i="21"/>
  <c r="H144" i="21"/>
  <c r="I144" i="21" s="1"/>
  <c r="G144" i="21"/>
  <c r="F144" i="21"/>
  <c r="E144" i="21"/>
  <c r="H143" i="21"/>
  <c r="G143" i="21"/>
  <c r="F143" i="21"/>
  <c r="E143" i="21"/>
  <c r="I143" i="21" s="1"/>
  <c r="G142" i="21"/>
  <c r="F142" i="21"/>
  <c r="H142" i="21" s="1"/>
  <c r="I142" i="21" s="1"/>
  <c r="E142" i="21"/>
  <c r="G141" i="21"/>
  <c r="F141" i="21"/>
  <c r="E141" i="21"/>
  <c r="H140" i="21"/>
  <c r="I140" i="21" s="1"/>
  <c r="G140" i="21"/>
  <c r="F140" i="21"/>
  <c r="E140" i="21"/>
  <c r="U133" i="21"/>
  <c r="Q133" i="21"/>
  <c r="M133" i="21"/>
  <c r="E133" i="21"/>
  <c r="D133" i="21"/>
  <c r="C133" i="21"/>
  <c r="H132" i="21"/>
  <c r="I132" i="21" s="1"/>
  <c r="G132" i="21"/>
  <c r="F132" i="21"/>
  <c r="E132" i="21"/>
  <c r="H131" i="21"/>
  <c r="G131" i="21"/>
  <c r="F131" i="21"/>
  <c r="E131" i="21"/>
  <c r="I131" i="21" s="1"/>
  <c r="H129" i="21"/>
  <c r="G129" i="21"/>
  <c r="F129" i="21"/>
  <c r="H128" i="21"/>
  <c r="G128" i="21"/>
  <c r="F128" i="21"/>
  <c r="H127" i="21"/>
  <c r="I127" i="21" s="1"/>
  <c r="G127" i="21"/>
  <c r="F127" i="21"/>
  <c r="E127" i="21"/>
  <c r="Y125" i="21"/>
  <c r="Y133" i="21" s="1"/>
  <c r="X125" i="21"/>
  <c r="X133" i="21" s="1"/>
  <c r="W125" i="21"/>
  <c r="W133" i="21" s="1"/>
  <c r="V125" i="21"/>
  <c r="V133" i="21" s="1"/>
  <c r="U125" i="21"/>
  <c r="G125" i="21" s="1"/>
  <c r="T125" i="21"/>
  <c r="T133" i="21" s="1"/>
  <c r="S125" i="21"/>
  <c r="S133" i="21" s="1"/>
  <c r="R125" i="21"/>
  <c r="R133" i="21" s="1"/>
  <c r="E125" i="21"/>
  <c r="Q124" i="21"/>
  <c r="P124" i="21"/>
  <c r="P133" i="21" s="1"/>
  <c r="O124" i="21"/>
  <c r="O133" i="21" s="1"/>
  <c r="N124" i="21"/>
  <c r="N133" i="21" s="1"/>
  <c r="M124" i="21"/>
  <c r="G124" i="21" s="1"/>
  <c r="G133" i="21" s="1"/>
  <c r="L124" i="21"/>
  <c r="L133" i="21" s="1"/>
  <c r="K124" i="21"/>
  <c r="K133" i="21" s="1"/>
  <c r="J124" i="21"/>
  <c r="J133" i="21" s="1"/>
  <c r="F124" i="21"/>
  <c r="E124" i="21"/>
  <c r="G123" i="21"/>
  <c r="F123" i="21"/>
  <c r="E123" i="21"/>
  <c r="H122" i="21"/>
  <c r="I122" i="21" s="1"/>
  <c r="G122" i="21"/>
  <c r="F122" i="21"/>
  <c r="E122" i="21"/>
  <c r="H121" i="21"/>
  <c r="G121" i="21"/>
  <c r="F121" i="21"/>
  <c r="E121" i="21"/>
  <c r="I121" i="21" s="1"/>
  <c r="G120" i="21"/>
  <c r="F120" i="21"/>
  <c r="H120" i="21" s="1"/>
  <c r="I120" i="21" s="1"/>
  <c r="E120" i="21"/>
  <c r="G119" i="21"/>
  <c r="F119" i="21"/>
  <c r="H119" i="21" s="1"/>
  <c r="I119" i="21" s="1"/>
  <c r="E119" i="21"/>
  <c r="H118" i="21"/>
  <c r="I118" i="21" s="1"/>
  <c r="G118" i="21"/>
  <c r="F118" i="21"/>
  <c r="E118" i="21"/>
  <c r="H117" i="21"/>
  <c r="G117" i="21"/>
  <c r="F117" i="21"/>
  <c r="E117" i="21"/>
  <c r="I117" i="21" s="1"/>
  <c r="G116" i="21"/>
  <c r="F116" i="21"/>
  <c r="H116" i="21" s="1"/>
  <c r="I116" i="21" s="1"/>
  <c r="E116" i="21"/>
  <c r="G115" i="21"/>
  <c r="F115" i="21"/>
  <c r="E115" i="21"/>
  <c r="H114" i="21"/>
  <c r="I114" i="21" s="1"/>
  <c r="G114" i="21"/>
  <c r="F114" i="21"/>
  <c r="E114" i="21"/>
  <c r="H113" i="21"/>
  <c r="G113" i="21"/>
  <c r="F113" i="21"/>
  <c r="E113" i="21"/>
  <c r="I113" i="21" s="1"/>
  <c r="G112" i="21"/>
  <c r="F112" i="21"/>
  <c r="H112" i="21" s="1"/>
  <c r="I112" i="21" s="1"/>
  <c r="E112" i="21"/>
  <c r="G111" i="21"/>
  <c r="F111" i="21"/>
  <c r="E111" i="21"/>
  <c r="H110" i="21"/>
  <c r="I110" i="21" s="1"/>
  <c r="G110" i="21"/>
  <c r="F110" i="21"/>
  <c r="E110" i="21"/>
  <c r="M101" i="21"/>
  <c r="L101" i="21"/>
  <c r="L99" i="21"/>
  <c r="M99" i="21" s="1"/>
  <c r="K99" i="21"/>
  <c r="L97" i="21"/>
  <c r="M97" i="21" s="1"/>
  <c r="K97" i="21"/>
  <c r="K101" i="21" s="1"/>
  <c r="L89" i="21"/>
  <c r="M89" i="21" s="1"/>
  <c r="K89" i="21"/>
  <c r="L87" i="21"/>
  <c r="K87" i="21"/>
  <c r="K91" i="21" s="1"/>
  <c r="AY79" i="21"/>
  <c r="BC79" i="21" s="1"/>
  <c r="AP79" i="21"/>
  <c r="AM79" i="21"/>
  <c r="AJ79" i="21"/>
  <c r="AG79" i="21"/>
  <c r="AD79" i="21"/>
  <c r="AA79" i="21"/>
  <c r="X79" i="21"/>
  <c r="U79" i="21"/>
  <c r="R79" i="21"/>
  <c r="O79" i="21"/>
  <c r="L79" i="21"/>
  <c r="I79" i="21"/>
  <c r="F79" i="21"/>
  <c r="AP78" i="21"/>
  <c r="AM78" i="21"/>
  <c r="AJ78" i="21"/>
  <c r="AG78" i="21"/>
  <c r="AD78" i="21"/>
  <c r="AU79" i="21" s="1"/>
  <c r="AA78" i="21"/>
  <c r="X78" i="21"/>
  <c r="U78" i="21"/>
  <c r="R78" i="21"/>
  <c r="O78" i="21"/>
  <c r="L78" i="21"/>
  <c r="I78" i="21"/>
  <c r="F78" i="21"/>
  <c r="AY74" i="21"/>
  <c r="BC74" i="21" s="1"/>
  <c r="AX74" i="21"/>
  <c r="BB74" i="21" s="1"/>
  <c r="AW74" i="21"/>
  <c r="BA74" i="21" s="1"/>
  <c r="AU74" i="21"/>
  <c r="AT74" i="21"/>
  <c r="AS74" i="21"/>
  <c r="AV74" i="21" s="1"/>
  <c r="AZ72" i="21"/>
  <c r="BD72" i="21" s="1"/>
  <c r="AY72" i="21"/>
  <c r="BC72" i="21" s="1"/>
  <c r="AX72" i="21"/>
  <c r="BB72" i="21" s="1"/>
  <c r="AW72" i="21"/>
  <c r="BA72" i="21" s="1"/>
  <c r="AV72" i="21"/>
  <c r="AU72" i="21"/>
  <c r="AT72" i="21"/>
  <c r="AS72" i="21"/>
  <c r="BA70" i="21"/>
  <c r="AY70" i="21"/>
  <c r="AY76" i="21" s="1"/>
  <c r="AX70" i="21"/>
  <c r="AX76" i="21" s="1"/>
  <c r="AW70" i="21"/>
  <c r="AU70" i="21"/>
  <c r="AU76" i="21" s="1"/>
  <c r="AT70" i="21"/>
  <c r="AT76" i="21" s="1"/>
  <c r="AS70" i="21"/>
  <c r="BG69" i="21"/>
  <c r="I63" i="21"/>
  <c r="H63" i="21"/>
  <c r="K63" i="21" s="1"/>
  <c r="G63" i="21"/>
  <c r="J63" i="21" s="1"/>
  <c r="F63" i="21"/>
  <c r="E63" i="21"/>
  <c r="AA61" i="21"/>
  <c r="X61" i="21"/>
  <c r="W61" i="21"/>
  <c r="S61" i="21"/>
  <c r="O61" i="21"/>
  <c r="D61" i="21"/>
  <c r="C61" i="21"/>
  <c r="J60" i="21"/>
  <c r="G60" i="21"/>
  <c r="F60" i="21"/>
  <c r="E60" i="21"/>
  <c r="S59" i="21"/>
  <c r="Q59" i="21"/>
  <c r="P59" i="21"/>
  <c r="G59" i="21"/>
  <c r="J59" i="21" s="1"/>
  <c r="F59" i="21"/>
  <c r="E59" i="21"/>
  <c r="G57" i="21"/>
  <c r="H57" i="21" s="1"/>
  <c r="F57" i="21"/>
  <c r="H56" i="21"/>
  <c r="G56" i="21"/>
  <c r="F56" i="21"/>
  <c r="G55" i="21"/>
  <c r="F55" i="21"/>
  <c r="I55" i="21" s="1"/>
  <c r="E55" i="21"/>
  <c r="AA53" i="21"/>
  <c r="Y53" i="21"/>
  <c r="Y61" i="21" s="1"/>
  <c r="U53" i="21"/>
  <c r="E53" i="21"/>
  <c r="Q52" i="21"/>
  <c r="Q61" i="21" s="1"/>
  <c r="M52" i="21"/>
  <c r="E52" i="21"/>
  <c r="D52" i="21"/>
  <c r="C52" i="21"/>
  <c r="I51" i="21"/>
  <c r="H51" i="21"/>
  <c r="G51" i="21"/>
  <c r="J51" i="21" s="1"/>
  <c r="F51" i="21"/>
  <c r="E51" i="21"/>
  <c r="J50" i="21"/>
  <c r="I50" i="21"/>
  <c r="G50" i="21"/>
  <c r="F50" i="21"/>
  <c r="H50" i="21" s="1"/>
  <c r="E50" i="21"/>
  <c r="J49" i="21"/>
  <c r="G49" i="21"/>
  <c r="F49" i="21"/>
  <c r="E49" i="21"/>
  <c r="H48" i="21"/>
  <c r="G48" i="21"/>
  <c r="J48" i="21" s="1"/>
  <c r="F48" i="21"/>
  <c r="I48" i="21" s="1"/>
  <c r="E48" i="21"/>
  <c r="R47" i="21"/>
  <c r="P47" i="21"/>
  <c r="N47" i="21"/>
  <c r="L47" i="21"/>
  <c r="G47" i="21"/>
  <c r="J47" i="21" s="1"/>
  <c r="E47" i="21"/>
  <c r="X46" i="21"/>
  <c r="V46" i="21"/>
  <c r="T46" i="21"/>
  <c r="F46" i="21" s="1"/>
  <c r="R46" i="21"/>
  <c r="P46" i="21"/>
  <c r="J46" i="21"/>
  <c r="G46" i="21"/>
  <c r="E46" i="21"/>
  <c r="G45" i="21"/>
  <c r="F45" i="21"/>
  <c r="I45" i="21" s="1"/>
  <c r="E45" i="21"/>
  <c r="I44" i="21"/>
  <c r="H44" i="21"/>
  <c r="G44" i="21"/>
  <c r="J44" i="21" s="1"/>
  <c r="F44" i="21"/>
  <c r="E44" i="21"/>
  <c r="J43" i="21"/>
  <c r="I43" i="21"/>
  <c r="G43" i="21"/>
  <c r="F43" i="21"/>
  <c r="H43" i="21" s="1"/>
  <c r="E43" i="21"/>
  <c r="I42" i="21"/>
  <c r="G42" i="21"/>
  <c r="J42" i="21" s="1"/>
  <c r="F42" i="21"/>
  <c r="E42" i="21"/>
  <c r="P41" i="21"/>
  <c r="F41" i="21" s="1"/>
  <c r="N41" i="21"/>
  <c r="J41" i="21"/>
  <c r="G41" i="21"/>
  <c r="E41" i="21"/>
  <c r="Z40" i="21"/>
  <c r="Z53" i="21" s="1"/>
  <c r="Z61" i="21" s="1"/>
  <c r="V40" i="21"/>
  <c r="T40" i="21"/>
  <c r="P40" i="21"/>
  <c r="F40" i="21" s="1"/>
  <c r="N40" i="21"/>
  <c r="L40" i="21"/>
  <c r="J40" i="21"/>
  <c r="G40" i="21"/>
  <c r="E40" i="21"/>
  <c r="X39" i="21"/>
  <c r="X53" i="21" s="1"/>
  <c r="W39" i="21"/>
  <c r="W53" i="21" s="1"/>
  <c r="V39" i="21"/>
  <c r="G39" i="21"/>
  <c r="J39" i="21" s="1"/>
  <c r="E39" i="21"/>
  <c r="S38" i="21"/>
  <c r="S52" i="21" s="1"/>
  <c r="P38" i="21"/>
  <c r="P52" i="21" s="1"/>
  <c r="P61" i="21" s="1"/>
  <c r="O38" i="21"/>
  <c r="O52" i="21" s="1"/>
  <c r="G38" i="21"/>
  <c r="D38" i="21"/>
  <c r="G31" i="21"/>
  <c r="F31" i="21"/>
  <c r="I31" i="21" s="1"/>
  <c r="E31" i="21"/>
  <c r="AA29" i="21"/>
  <c r="Z29" i="21"/>
  <c r="Y29" i="21"/>
  <c r="V29" i="21"/>
  <c r="U29" i="21"/>
  <c r="J28" i="21"/>
  <c r="G28" i="21"/>
  <c r="F28" i="21"/>
  <c r="E28" i="21"/>
  <c r="S27" i="21"/>
  <c r="Q27" i="21"/>
  <c r="P27" i="21"/>
  <c r="I27" i="21"/>
  <c r="F27" i="21"/>
  <c r="E27" i="21"/>
  <c r="G25" i="21"/>
  <c r="F25" i="21"/>
  <c r="G24" i="21"/>
  <c r="F24" i="21"/>
  <c r="H24" i="21" s="1"/>
  <c r="J23" i="21"/>
  <c r="I23" i="21"/>
  <c r="G23" i="21"/>
  <c r="F23" i="21"/>
  <c r="H23" i="21" s="1"/>
  <c r="E23" i="21"/>
  <c r="AA21" i="21"/>
  <c r="Z21" i="21"/>
  <c r="Y21" i="21"/>
  <c r="X21" i="21"/>
  <c r="X29" i="21" s="1"/>
  <c r="V21" i="21"/>
  <c r="U21" i="21"/>
  <c r="T21" i="21"/>
  <c r="E21" i="21"/>
  <c r="Q20" i="21"/>
  <c r="O20" i="21"/>
  <c r="M20" i="21"/>
  <c r="M29" i="21" s="1"/>
  <c r="E20" i="21"/>
  <c r="D20" i="21"/>
  <c r="D29" i="21" s="1"/>
  <c r="C20" i="21"/>
  <c r="C29" i="21" s="1"/>
  <c r="J19" i="21"/>
  <c r="G19" i="21"/>
  <c r="F19" i="21"/>
  <c r="E19" i="21"/>
  <c r="I18" i="21"/>
  <c r="G18" i="21"/>
  <c r="J18" i="21" s="1"/>
  <c r="F18" i="21"/>
  <c r="E18" i="21"/>
  <c r="J17" i="21"/>
  <c r="G17" i="21"/>
  <c r="F17" i="21"/>
  <c r="E17" i="21"/>
  <c r="J16" i="21"/>
  <c r="I16" i="21"/>
  <c r="G16" i="21"/>
  <c r="F16" i="21"/>
  <c r="H16" i="21" s="1"/>
  <c r="E16" i="21"/>
  <c r="H15" i="21"/>
  <c r="G15" i="21"/>
  <c r="J15" i="21" s="1"/>
  <c r="F15" i="21"/>
  <c r="I15" i="21" s="1"/>
  <c r="E15" i="21"/>
  <c r="I14" i="21"/>
  <c r="G14" i="21"/>
  <c r="F14" i="21"/>
  <c r="E14" i="21"/>
  <c r="J13" i="21"/>
  <c r="I13" i="21"/>
  <c r="H13" i="21"/>
  <c r="K13" i="21" s="1"/>
  <c r="G13" i="21"/>
  <c r="F13" i="21"/>
  <c r="E13" i="21"/>
  <c r="G12" i="21"/>
  <c r="J12" i="21" s="1"/>
  <c r="F12" i="21"/>
  <c r="E12" i="21"/>
  <c r="J11" i="21"/>
  <c r="G11" i="21"/>
  <c r="F11" i="21"/>
  <c r="E11" i="21"/>
  <c r="I10" i="21"/>
  <c r="G10" i="21"/>
  <c r="J10" i="21" s="1"/>
  <c r="F10" i="21"/>
  <c r="E10" i="21"/>
  <c r="P9" i="21"/>
  <c r="N9" i="21"/>
  <c r="F9" i="21" s="1"/>
  <c r="I9" i="21" s="1"/>
  <c r="H9" i="21"/>
  <c r="G9" i="21"/>
  <c r="J9" i="21" s="1"/>
  <c r="E9" i="21"/>
  <c r="R8" i="21"/>
  <c r="R40" i="21" s="1"/>
  <c r="P8" i="21"/>
  <c r="J8" i="21"/>
  <c r="G8" i="21"/>
  <c r="F8" i="21"/>
  <c r="E8" i="21"/>
  <c r="W7" i="21"/>
  <c r="G7" i="21" s="1"/>
  <c r="T7" i="21"/>
  <c r="T39" i="21" s="1"/>
  <c r="J7" i="21"/>
  <c r="F7" i="21"/>
  <c r="E7" i="21"/>
  <c r="S6" i="21"/>
  <c r="S20" i="21" s="1"/>
  <c r="S29" i="21" s="1"/>
  <c r="R6" i="21"/>
  <c r="P6" i="21"/>
  <c r="P20" i="21" s="1"/>
  <c r="P29" i="21" s="1"/>
  <c r="O6" i="21"/>
  <c r="N6" i="21"/>
  <c r="L6" i="21"/>
  <c r="G6" i="21"/>
  <c r="J6" i="21" s="1"/>
  <c r="D6" i="21"/>
  <c r="C6" i="21"/>
  <c r="E6" i="21" s="1"/>
  <c r="R25" i="10"/>
  <c r="P25" i="10"/>
  <c r="N25" i="10"/>
  <c r="L25" i="10"/>
  <c r="J25" i="10"/>
  <c r="H25" i="10"/>
  <c r="F25" i="10"/>
  <c r="D25" i="10"/>
  <c r="B25" i="10"/>
  <c r="S23" i="10"/>
  <c r="Q23" i="10"/>
  <c r="P23" i="10"/>
  <c r="P24" i="10" s="1"/>
  <c r="M23" i="10"/>
  <c r="L23" i="10"/>
  <c r="K23" i="10"/>
  <c r="J23" i="10"/>
  <c r="J24" i="10" s="1"/>
  <c r="I23" i="10"/>
  <c r="H23" i="10"/>
  <c r="H24" i="10" s="1"/>
  <c r="G23" i="10"/>
  <c r="F23" i="10"/>
  <c r="E23" i="10"/>
  <c r="D23" i="10"/>
  <c r="C23" i="10"/>
  <c r="B23" i="10"/>
  <c r="B24" i="10" s="1"/>
  <c r="U22" i="10"/>
  <c r="W22" i="10" s="1"/>
  <c r="S22" i="10"/>
  <c r="R22" i="10"/>
  <c r="O22" i="10"/>
  <c r="N22" i="10"/>
  <c r="T22" i="10" s="1"/>
  <c r="V22" i="10" s="1"/>
  <c r="U21" i="10"/>
  <c r="W21" i="10" s="1"/>
  <c r="S21" i="10"/>
  <c r="R21" i="10"/>
  <c r="O21" i="10"/>
  <c r="N21" i="10"/>
  <c r="T21" i="10" s="1"/>
  <c r="V21" i="10" s="1"/>
  <c r="U20" i="10"/>
  <c r="W20" i="10" s="1"/>
  <c r="S20" i="10"/>
  <c r="R20" i="10"/>
  <c r="O20" i="10"/>
  <c r="N20" i="10"/>
  <c r="T20" i="10" s="1"/>
  <c r="V20" i="10" s="1"/>
  <c r="U19" i="10"/>
  <c r="S19" i="10"/>
  <c r="R19" i="10"/>
  <c r="R23" i="10" s="1"/>
  <c r="R24" i="10" s="1"/>
  <c r="O19" i="10"/>
  <c r="O23" i="10" s="1"/>
  <c r="N19" i="10"/>
  <c r="R12" i="10"/>
  <c r="P12" i="10"/>
  <c r="N12" i="10"/>
  <c r="L12" i="10"/>
  <c r="J12" i="10"/>
  <c r="H12" i="10"/>
  <c r="F12" i="10"/>
  <c r="D12" i="10"/>
  <c r="B12" i="10"/>
  <c r="D11" i="10"/>
  <c r="R10" i="10"/>
  <c r="Q10" i="10"/>
  <c r="P10" i="10"/>
  <c r="M10" i="10"/>
  <c r="L10" i="10"/>
  <c r="L11" i="10" s="1"/>
  <c r="K10" i="10"/>
  <c r="J10" i="10"/>
  <c r="J11" i="10" s="1"/>
  <c r="I10" i="10"/>
  <c r="H10" i="10"/>
  <c r="H11" i="10" s="1"/>
  <c r="G10" i="10"/>
  <c r="F10" i="10"/>
  <c r="F11" i="10" s="1"/>
  <c r="E10" i="10"/>
  <c r="D10" i="10"/>
  <c r="C10" i="10"/>
  <c r="B10" i="10"/>
  <c r="B11" i="10" s="1"/>
  <c r="S9" i="10"/>
  <c r="R9" i="10"/>
  <c r="O9" i="10"/>
  <c r="U9" i="10" s="1"/>
  <c r="W9" i="10" s="1"/>
  <c r="N9" i="10"/>
  <c r="T9" i="10" s="1"/>
  <c r="V9" i="10" s="1"/>
  <c r="S8" i="10"/>
  <c r="R8" i="10"/>
  <c r="O8" i="10"/>
  <c r="U8" i="10" s="1"/>
  <c r="W8" i="10" s="1"/>
  <c r="N8" i="10"/>
  <c r="T8" i="10" s="1"/>
  <c r="V8" i="10" s="1"/>
  <c r="S7" i="10"/>
  <c r="R7" i="10"/>
  <c r="O7" i="10"/>
  <c r="U7" i="10" s="1"/>
  <c r="W7" i="10" s="1"/>
  <c r="N7" i="10"/>
  <c r="T7" i="10" s="1"/>
  <c r="V7" i="10" s="1"/>
  <c r="S6" i="10"/>
  <c r="S10" i="10" s="1"/>
  <c r="R6" i="10"/>
  <c r="O6" i="10"/>
  <c r="O10" i="10" s="1"/>
  <c r="N6" i="10"/>
  <c r="N10" i="10" s="1"/>
  <c r="N11" i="10" s="1"/>
  <c r="J72" i="17"/>
  <c r="H72" i="17"/>
  <c r="G72" i="17"/>
  <c r="F72" i="17"/>
  <c r="I72" i="17" s="1"/>
  <c r="D27" i="24" s="1"/>
  <c r="J70" i="17"/>
  <c r="I70" i="17"/>
  <c r="H70" i="17"/>
  <c r="G70" i="17"/>
  <c r="F70" i="17"/>
  <c r="Y65" i="17"/>
  <c r="V65" i="17"/>
  <c r="S65" i="17"/>
  <c r="R65" i="17"/>
  <c r="P65" i="17"/>
  <c r="N65" i="17"/>
  <c r="L65" i="17"/>
  <c r="J65" i="17"/>
  <c r="I64" i="17"/>
  <c r="G64" i="17"/>
  <c r="F64" i="17"/>
  <c r="H64" i="17" s="1"/>
  <c r="E64" i="17"/>
  <c r="D64" i="17"/>
  <c r="C64" i="17"/>
  <c r="G63" i="17"/>
  <c r="F63" i="17"/>
  <c r="H63" i="17" s="1"/>
  <c r="E25" i="24" s="1"/>
  <c r="D63" i="17"/>
  <c r="E63" i="17" s="1"/>
  <c r="D25" i="24" s="1"/>
  <c r="C63" i="17"/>
  <c r="G61" i="17"/>
  <c r="F61" i="17"/>
  <c r="H61" i="17" s="1"/>
  <c r="G60" i="17"/>
  <c r="F60" i="17"/>
  <c r="H60" i="17" s="1"/>
  <c r="G59" i="17"/>
  <c r="F59" i="17"/>
  <c r="H59" i="17" s="1"/>
  <c r="I59" i="17" s="1"/>
  <c r="E59" i="17"/>
  <c r="D59" i="17"/>
  <c r="C59" i="17"/>
  <c r="Y57" i="17"/>
  <c r="X57" i="17"/>
  <c r="X65" i="17" s="1"/>
  <c r="W57" i="17"/>
  <c r="W65" i="17" s="1"/>
  <c r="V57" i="17"/>
  <c r="U57" i="17"/>
  <c r="U65" i="17" s="1"/>
  <c r="T57" i="17"/>
  <c r="S57" i="17"/>
  <c r="R57" i="17"/>
  <c r="D57" i="17"/>
  <c r="C57" i="17"/>
  <c r="Q56" i="17"/>
  <c r="Q65" i="17" s="1"/>
  <c r="P56" i="17"/>
  <c r="O56" i="17"/>
  <c r="O65" i="17" s="1"/>
  <c r="N56" i="17"/>
  <c r="M56" i="17"/>
  <c r="M65" i="17" s="1"/>
  <c r="L56" i="17"/>
  <c r="F56" i="17" s="1"/>
  <c r="K56" i="17"/>
  <c r="K65" i="17" s="1"/>
  <c r="J56" i="17"/>
  <c r="G56" i="17"/>
  <c r="D56" i="17"/>
  <c r="G55" i="17"/>
  <c r="F55" i="17"/>
  <c r="H55" i="17" s="1"/>
  <c r="I55" i="17" s="1"/>
  <c r="D55" i="17"/>
  <c r="C55" i="17"/>
  <c r="E55" i="17" s="1"/>
  <c r="G54" i="17"/>
  <c r="F54" i="17"/>
  <c r="H54" i="17" s="1"/>
  <c r="I54" i="17" s="1"/>
  <c r="E54" i="17"/>
  <c r="D54" i="17"/>
  <c r="C54" i="17"/>
  <c r="H53" i="17"/>
  <c r="I53" i="17" s="1"/>
  <c r="G53" i="17"/>
  <c r="F53" i="17"/>
  <c r="D53" i="17"/>
  <c r="E53" i="17" s="1"/>
  <c r="C53" i="17"/>
  <c r="G52" i="17"/>
  <c r="H52" i="17" s="1"/>
  <c r="F52" i="17"/>
  <c r="D52" i="17"/>
  <c r="C52" i="17"/>
  <c r="E52" i="17" s="1"/>
  <c r="G51" i="17"/>
  <c r="F51" i="17"/>
  <c r="H51" i="17" s="1"/>
  <c r="D51" i="17"/>
  <c r="C51" i="17"/>
  <c r="E51" i="17" s="1"/>
  <c r="G50" i="17"/>
  <c r="F50" i="17"/>
  <c r="H50" i="17" s="1"/>
  <c r="I50" i="17" s="1"/>
  <c r="E50" i="17"/>
  <c r="D50" i="17"/>
  <c r="C50" i="17"/>
  <c r="H49" i="17"/>
  <c r="I49" i="17" s="1"/>
  <c r="G49" i="17"/>
  <c r="F49" i="17"/>
  <c r="D49" i="17"/>
  <c r="E49" i="17" s="1"/>
  <c r="C49" i="17"/>
  <c r="G48" i="17"/>
  <c r="H48" i="17" s="1"/>
  <c r="I48" i="17" s="1"/>
  <c r="F48" i="17"/>
  <c r="D48" i="17"/>
  <c r="C48" i="17"/>
  <c r="E48" i="17" s="1"/>
  <c r="G47" i="17"/>
  <c r="F47" i="17"/>
  <c r="H47" i="17" s="1"/>
  <c r="D47" i="17"/>
  <c r="C47" i="17"/>
  <c r="E47" i="17" s="1"/>
  <c r="I46" i="17"/>
  <c r="G46" i="17"/>
  <c r="F46" i="17"/>
  <c r="H46" i="17" s="1"/>
  <c r="E46" i="17"/>
  <c r="D46" i="17"/>
  <c r="C46" i="17"/>
  <c r="G45" i="17"/>
  <c r="F45" i="17"/>
  <c r="H45" i="17" s="1"/>
  <c r="I45" i="17" s="1"/>
  <c r="D45" i="17"/>
  <c r="E45" i="17" s="1"/>
  <c r="C45" i="17"/>
  <c r="G44" i="17"/>
  <c r="H44" i="17" s="1"/>
  <c r="I44" i="17" s="1"/>
  <c r="F44" i="17"/>
  <c r="D44" i="17"/>
  <c r="C44" i="17"/>
  <c r="E44" i="17" s="1"/>
  <c r="G43" i="17"/>
  <c r="F43" i="17"/>
  <c r="H43" i="17" s="1"/>
  <c r="D43" i="17"/>
  <c r="C43" i="17"/>
  <c r="G42" i="17"/>
  <c r="F42" i="17"/>
  <c r="D42" i="17"/>
  <c r="C42" i="17"/>
  <c r="E42" i="17" s="1"/>
  <c r="Y36" i="17"/>
  <c r="U36" i="17"/>
  <c r="L36" i="17"/>
  <c r="J36" i="17"/>
  <c r="D36" i="17"/>
  <c r="G35" i="17"/>
  <c r="H35" i="17" s="1"/>
  <c r="I35" i="17" s="1"/>
  <c r="F35" i="17"/>
  <c r="E35" i="17"/>
  <c r="D15" i="24" s="1"/>
  <c r="D35" i="17"/>
  <c r="C35" i="17"/>
  <c r="G34" i="17"/>
  <c r="F34" i="17"/>
  <c r="D34" i="17"/>
  <c r="C34" i="17"/>
  <c r="E34" i="17" s="1"/>
  <c r="H32" i="17"/>
  <c r="G32" i="17"/>
  <c r="F32" i="17"/>
  <c r="G31" i="17"/>
  <c r="H31" i="17" s="1"/>
  <c r="F31" i="17"/>
  <c r="G30" i="17"/>
  <c r="H30" i="17" s="1"/>
  <c r="I30" i="17" s="1"/>
  <c r="F30" i="17"/>
  <c r="E30" i="17"/>
  <c r="D13" i="24" s="1"/>
  <c r="D30" i="17"/>
  <c r="C30" i="17"/>
  <c r="Y28" i="17"/>
  <c r="X28" i="17"/>
  <c r="X36" i="17" s="1"/>
  <c r="W28" i="17"/>
  <c r="W36" i="17" s="1"/>
  <c r="V28" i="17"/>
  <c r="V36" i="17" s="1"/>
  <c r="U28" i="17"/>
  <c r="T28" i="17"/>
  <c r="T36" i="17" s="1"/>
  <c r="S28" i="17"/>
  <c r="S36" i="17" s="1"/>
  <c r="R28" i="17"/>
  <c r="R36" i="17" s="1"/>
  <c r="G28" i="17"/>
  <c r="D28" i="17"/>
  <c r="Q27" i="17"/>
  <c r="Q36" i="17" s="1"/>
  <c r="P27" i="17"/>
  <c r="P36" i="17" s="1"/>
  <c r="O27" i="17"/>
  <c r="O36" i="17" s="1"/>
  <c r="N27" i="17"/>
  <c r="N36" i="17" s="1"/>
  <c r="M27" i="17"/>
  <c r="M36" i="17" s="1"/>
  <c r="L27" i="17"/>
  <c r="K27" i="17"/>
  <c r="K36" i="17" s="1"/>
  <c r="J27" i="17"/>
  <c r="G27" i="17"/>
  <c r="G36" i="17" s="1"/>
  <c r="D27" i="17"/>
  <c r="C27" i="17"/>
  <c r="G26" i="17"/>
  <c r="F26" i="17"/>
  <c r="H26" i="17" s="1"/>
  <c r="D26" i="17"/>
  <c r="E26" i="17" s="1"/>
  <c r="C26" i="17"/>
  <c r="G25" i="17"/>
  <c r="H25" i="17" s="1"/>
  <c r="F25" i="17"/>
  <c r="E25" i="17"/>
  <c r="D25" i="17"/>
  <c r="C25" i="17"/>
  <c r="H24" i="17"/>
  <c r="G24" i="17"/>
  <c r="F24" i="17"/>
  <c r="D24" i="17"/>
  <c r="C24" i="17"/>
  <c r="E24" i="17" s="1"/>
  <c r="I23" i="17"/>
  <c r="G23" i="17"/>
  <c r="F23" i="17"/>
  <c r="H23" i="17" s="1"/>
  <c r="E23" i="17"/>
  <c r="D23" i="17"/>
  <c r="C23" i="17"/>
  <c r="G22" i="17"/>
  <c r="F22" i="17"/>
  <c r="H22" i="17" s="1"/>
  <c r="I22" i="17" s="1"/>
  <c r="D22" i="17"/>
  <c r="E22" i="17" s="1"/>
  <c r="C22" i="17"/>
  <c r="G21" i="17"/>
  <c r="H21" i="17" s="1"/>
  <c r="I21" i="17" s="1"/>
  <c r="F21" i="17"/>
  <c r="D21" i="17"/>
  <c r="C21" i="17"/>
  <c r="E21" i="17" s="1"/>
  <c r="G20" i="17"/>
  <c r="F20" i="17"/>
  <c r="H20" i="17" s="1"/>
  <c r="D20" i="17"/>
  <c r="C20" i="17"/>
  <c r="G19" i="17"/>
  <c r="F19" i="17"/>
  <c r="H19" i="17" s="1"/>
  <c r="I19" i="17" s="1"/>
  <c r="D19" i="17"/>
  <c r="C19" i="17"/>
  <c r="E19" i="17" s="1"/>
  <c r="H18" i="17"/>
  <c r="I18" i="17" s="1"/>
  <c r="G18" i="17"/>
  <c r="F18" i="17"/>
  <c r="D18" i="17"/>
  <c r="E18" i="17" s="1"/>
  <c r="C18" i="17"/>
  <c r="G17" i="17"/>
  <c r="H17" i="17" s="1"/>
  <c r="I17" i="17" s="1"/>
  <c r="F17" i="17"/>
  <c r="E17" i="17"/>
  <c r="D17" i="17"/>
  <c r="C17" i="17"/>
  <c r="H16" i="17"/>
  <c r="G16" i="17"/>
  <c r="F16" i="17"/>
  <c r="D16" i="17"/>
  <c r="C16" i="17"/>
  <c r="E16" i="17" s="1"/>
  <c r="G15" i="17"/>
  <c r="F15" i="17"/>
  <c r="H15" i="17" s="1"/>
  <c r="E15" i="17"/>
  <c r="I15" i="17" s="1"/>
  <c r="D15" i="17"/>
  <c r="C15" i="17"/>
  <c r="H14" i="17"/>
  <c r="I14" i="17" s="1"/>
  <c r="G14" i="17"/>
  <c r="F14" i="17"/>
  <c r="D14" i="17"/>
  <c r="E14" i="17" s="1"/>
  <c r="C14" i="17"/>
  <c r="G13" i="17"/>
  <c r="F13" i="17"/>
  <c r="D13" i="17"/>
  <c r="C13" i="17"/>
  <c r="E13" i="17" s="1"/>
  <c r="L108" i="14"/>
  <c r="L106" i="14"/>
  <c r="J106" i="14"/>
  <c r="I106" i="14"/>
  <c r="H106" i="14"/>
  <c r="G106" i="14"/>
  <c r="K106" i="14" s="1"/>
  <c r="M106" i="14" s="1"/>
  <c r="F106" i="14"/>
  <c r="L104" i="14"/>
  <c r="J104" i="14"/>
  <c r="I104" i="14"/>
  <c r="H104" i="14"/>
  <c r="G104" i="14"/>
  <c r="K104" i="14" s="1"/>
  <c r="F104" i="14"/>
  <c r="L96" i="14"/>
  <c r="J96" i="14"/>
  <c r="I96" i="14"/>
  <c r="H96" i="14"/>
  <c r="G96" i="14"/>
  <c r="F96" i="14"/>
  <c r="L94" i="14"/>
  <c r="J94" i="14"/>
  <c r="I94" i="14"/>
  <c r="H94" i="14"/>
  <c r="G94" i="14"/>
  <c r="F94" i="14"/>
  <c r="AP86" i="14"/>
  <c r="AM86" i="14"/>
  <c r="AJ86" i="14"/>
  <c r="AG86" i="14"/>
  <c r="AD86" i="14"/>
  <c r="AA86" i="14"/>
  <c r="X86" i="14"/>
  <c r="U86" i="14"/>
  <c r="R86" i="14"/>
  <c r="O86" i="14"/>
  <c r="L86" i="14"/>
  <c r="I86" i="14"/>
  <c r="F86" i="14"/>
  <c r="AJ85" i="14"/>
  <c r="O85" i="14"/>
  <c r="AY81" i="14"/>
  <c r="AX81" i="14"/>
  <c r="AW81" i="14"/>
  <c r="AU81" i="14"/>
  <c r="AR81" i="14"/>
  <c r="AQ81" i="14"/>
  <c r="AP81" i="14"/>
  <c r="AO81" i="14"/>
  <c r="AN81" i="14"/>
  <c r="AM81" i="14"/>
  <c r="AL81" i="14"/>
  <c r="AK81" i="14"/>
  <c r="AJ81" i="14"/>
  <c r="AI81" i="14"/>
  <c r="AH81" i="14"/>
  <c r="AG81" i="14"/>
  <c r="AF81" i="14"/>
  <c r="AE81" i="14"/>
  <c r="AD81" i="14"/>
  <c r="AC81" i="14"/>
  <c r="AB81" i="14"/>
  <c r="AA81" i="14"/>
  <c r="Z81" i="14"/>
  <c r="Y81" i="14"/>
  <c r="X81" i="14"/>
  <c r="W81" i="14"/>
  <c r="V81" i="14"/>
  <c r="U81" i="14"/>
  <c r="T81" i="14"/>
  <c r="S81" i="14"/>
  <c r="R81" i="14"/>
  <c r="Q81" i="14"/>
  <c r="P81" i="14"/>
  <c r="O81" i="14"/>
  <c r="N81" i="14"/>
  <c r="M81" i="14"/>
  <c r="L81" i="14"/>
  <c r="K81" i="14"/>
  <c r="J81" i="14"/>
  <c r="I81" i="14"/>
  <c r="H81" i="14"/>
  <c r="G81" i="14"/>
  <c r="AT81" i="14" s="1"/>
  <c r="F81" i="14"/>
  <c r="AY79" i="14"/>
  <c r="AX79" i="14"/>
  <c r="AW79" i="14"/>
  <c r="AT79" i="14"/>
  <c r="AR79" i="14"/>
  <c r="AQ79" i="14"/>
  <c r="AP79" i="14"/>
  <c r="AO79" i="14"/>
  <c r="AN79" i="14"/>
  <c r="AM79" i="14"/>
  <c r="AL79" i="14"/>
  <c r="AK79" i="14"/>
  <c r="AJ79" i="14"/>
  <c r="AI79" i="14"/>
  <c r="AH79" i="14"/>
  <c r="AG85" i="14" s="1"/>
  <c r="AG79" i="14"/>
  <c r="AF79" i="14"/>
  <c r="AE79" i="14"/>
  <c r="AD79" i="14"/>
  <c r="AC79" i="14"/>
  <c r="AB79" i="14"/>
  <c r="AA79" i="14"/>
  <c r="Z79" i="14"/>
  <c r="Y79" i="14"/>
  <c r="X79" i="14"/>
  <c r="W79" i="14"/>
  <c r="V79" i="14"/>
  <c r="U85" i="14" s="1"/>
  <c r="U79" i="14"/>
  <c r="T79" i="14"/>
  <c r="S79" i="14"/>
  <c r="R79" i="14"/>
  <c r="Q79" i="14"/>
  <c r="P79" i="14"/>
  <c r="O79" i="14"/>
  <c r="N79" i="14"/>
  <c r="AU79" i="14" s="1"/>
  <c r="M79" i="14"/>
  <c r="L79" i="14"/>
  <c r="K79" i="14"/>
  <c r="J79" i="14"/>
  <c r="I79" i="14"/>
  <c r="H79" i="14"/>
  <c r="G79" i="14"/>
  <c r="F79" i="14"/>
  <c r="AS79" i="14" s="1"/>
  <c r="AY77" i="14"/>
  <c r="AX77" i="14"/>
  <c r="AW77" i="14"/>
  <c r="AW83" i="14" s="1"/>
  <c r="AR77" i="14"/>
  <c r="AQ77" i="14"/>
  <c r="AP77" i="14"/>
  <c r="AO77" i="14"/>
  <c r="AN77" i="14"/>
  <c r="AM77" i="14"/>
  <c r="AL77" i="14"/>
  <c r="AK77" i="14"/>
  <c r="AJ77" i="14"/>
  <c r="AI77" i="14"/>
  <c r="AH77" i="14"/>
  <c r="AG77" i="14"/>
  <c r="AF77" i="14"/>
  <c r="AE77" i="14"/>
  <c r="AD77" i="14"/>
  <c r="AC77" i="14"/>
  <c r="AB77" i="14"/>
  <c r="AA77" i="14"/>
  <c r="Z77" i="14"/>
  <c r="Y77" i="14"/>
  <c r="X77" i="14"/>
  <c r="W77" i="14"/>
  <c r="V77" i="14"/>
  <c r="U77" i="14"/>
  <c r="T77" i="14"/>
  <c r="S77" i="14"/>
  <c r="R77" i="14"/>
  <c r="Q77" i="14"/>
  <c r="P77" i="14"/>
  <c r="O77" i="14"/>
  <c r="N77" i="14"/>
  <c r="M77" i="14"/>
  <c r="L77" i="14"/>
  <c r="K77" i="14"/>
  <c r="J77" i="14"/>
  <c r="AT77" i="14" s="1"/>
  <c r="AT83" i="14" s="1"/>
  <c r="I77" i="14"/>
  <c r="H77" i="14"/>
  <c r="AU77" i="14" s="1"/>
  <c r="G77" i="14"/>
  <c r="F77" i="14"/>
  <c r="BE76" i="14"/>
  <c r="BG76" i="14" s="1"/>
  <c r="J70" i="14"/>
  <c r="G70" i="14"/>
  <c r="F70" i="14"/>
  <c r="D70" i="14"/>
  <c r="E70" i="14" s="1"/>
  <c r="C70" i="14"/>
  <c r="G67" i="14"/>
  <c r="F67" i="14"/>
  <c r="I67" i="14" s="1"/>
  <c r="D67" i="14"/>
  <c r="C67" i="14"/>
  <c r="G66" i="14"/>
  <c r="J66" i="14" s="1"/>
  <c r="F66" i="14"/>
  <c r="I66" i="14" s="1"/>
  <c r="E66" i="14"/>
  <c r="D66" i="14"/>
  <c r="C66" i="14"/>
  <c r="G64" i="14"/>
  <c r="J64" i="14" s="1"/>
  <c r="F64" i="14"/>
  <c r="D64" i="14"/>
  <c r="C64" i="14"/>
  <c r="E64" i="14" s="1"/>
  <c r="G63" i="14"/>
  <c r="J63" i="14" s="1"/>
  <c r="F63" i="14"/>
  <c r="D63" i="14"/>
  <c r="C63" i="14"/>
  <c r="E63" i="14" s="1"/>
  <c r="E15" i="25" s="1"/>
  <c r="I62" i="14"/>
  <c r="G62" i="14"/>
  <c r="H62" i="14" s="1"/>
  <c r="G14" i="25" s="1"/>
  <c r="F62" i="14"/>
  <c r="D62" i="14"/>
  <c r="C62" i="14"/>
  <c r="AA60" i="14"/>
  <c r="AA68" i="14" s="1"/>
  <c r="Z60" i="14"/>
  <c r="Z68" i="14" s="1"/>
  <c r="Y60" i="14"/>
  <c r="Y68" i="14" s="1"/>
  <c r="X60" i="14"/>
  <c r="X68" i="14" s="1"/>
  <c r="W60" i="14"/>
  <c r="W68" i="14" s="1"/>
  <c r="V60" i="14"/>
  <c r="V68" i="14" s="1"/>
  <c r="U60" i="14"/>
  <c r="U68" i="14" s="1"/>
  <c r="T60" i="14"/>
  <c r="S59" i="14"/>
  <c r="S68" i="14" s="1"/>
  <c r="R59" i="14"/>
  <c r="R68" i="14" s="1"/>
  <c r="Q59" i="14"/>
  <c r="Q68" i="14" s="1"/>
  <c r="P59" i="14"/>
  <c r="P68" i="14" s="1"/>
  <c r="O59" i="14"/>
  <c r="O68" i="14" s="1"/>
  <c r="N59" i="14"/>
  <c r="N68" i="14" s="1"/>
  <c r="M59" i="14"/>
  <c r="L59" i="14"/>
  <c r="L68" i="14" s="1"/>
  <c r="G58" i="14"/>
  <c r="J58" i="14" s="1"/>
  <c r="F58" i="14"/>
  <c r="D58" i="14"/>
  <c r="C58" i="14"/>
  <c r="E58" i="14" s="1"/>
  <c r="H57" i="14"/>
  <c r="G57" i="14"/>
  <c r="F57" i="14"/>
  <c r="I57" i="14" s="1"/>
  <c r="E57" i="14"/>
  <c r="D57" i="14"/>
  <c r="J57" i="14" s="1"/>
  <c r="C57" i="14"/>
  <c r="G56" i="14"/>
  <c r="F56" i="14"/>
  <c r="D56" i="14"/>
  <c r="C56" i="14"/>
  <c r="G55" i="14"/>
  <c r="J55" i="14" s="1"/>
  <c r="F55" i="14"/>
  <c r="D55" i="14"/>
  <c r="C55" i="14"/>
  <c r="E55" i="14" s="1"/>
  <c r="G54" i="14"/>
  <c r="J54" i="14" s="1"/>
  <c r="F54" i="14"/>
  <c r="D54" i="14"/>
  <c r="G53" i="14"/>
  <c r="J53" i="14" s="1"/>
  <c r="F53" i="14"/>
  <c r="H53" i="14" s="1"/>
  <c r="E53" i="14"/>
  <c r="D53" i="14"/>
  <c r="C53" i="14"/>
  <c r="G52" i="14"/>
  <c r="J52" i="14" s="1"/>
  <c r="F52" i="14"/>
  <c r="D52" i="14"/>
  <c r="C52" i="14"/>
  <c r="H51" i="14"/>
  <c r="G51" i="14"/>
  <c r="F51" i="14"/>
  <c r="D51" i="14"/>
  <c r="J51" i="14" s="1"/>
  <c r="C51" i="14"/>
  <c r="E51" i="14" s="1"/>
  <c r="G50" i="14"/>
  <c r="J50" i="14" s="1"/>
  <c r="F50" i="14"/>
  <c r="H50" i="14" s="1"/>
  <c r="E50" i="14"/>
  <c r="D50" i="14"/>
  <c r="C50" i="14"/>
  <c r="J49" i="14"/>
  <c r="G49" i="14"/>
  <c r="F49" i="14"/>
  <c r="D49" i="14"/>
  <c r="E49" i="14" s="1"/>
  <c r="C49" i="14"/>
  <c r="G48" i="14"/>
  <c r="F48" i="14"/>
  <c r="I48" i="14" s="1"/>
  <c r="D48" i="14"/>
  <c r="E48" i="14" s="1"/>
  <c r="C48" i="14"/>
  <c r="G47" i="14"/>
  <c r="J47" i="14" s="1"/>
  <c r="F47" i="14"/>
  <c r="D47" i="14"/>
  <c r="C47" i="14"/>
  <c r="G46" i="14"/>
  <c r="J46" i="14" s="1"/>
  <c r="F46" i="14"/>
  <c r="D46" i="14"/>
  <c r="G45" i="14"/>
  <c r="F45" i="14"/>
  <c r="D45" i="14"/>
  <c r="G38" i="14"/>
  <c r="J38" i="14" s="1"/>
  <c r="F38" i="14"/>
  <c r="D38" i="14"/>
  <c r="C38" i="14"/>
  <c r="E38" i="14" s="1"/>
  <c r="G35" i="14"/>
  <c r="J35" i="14" s="1"/>
  <c r="F35" i="14"/>
  <c r="D35" i="14"/>
  <c r="C35" i="14"/>
  <c r="E35" i="14" s="1"/>
  <c r="G34" i="14"/>
  <c r="F34" i="14"/>
  <c r="I34" i="14" s="1"/>
  <c r="C34" i="14"/>
  <c r="G32" i="14"/>
  <c r="F32" i="14"/>
  <c r="D32" i="14"/>
  <c r="C32" i="14"/>
  <c r="H31" i="14"/>
  <c r="G31" i="14"/>
  <c r="J31" i="14" s="1"/>
  <c r="F31" i="14"/>
  <c r="D31" i="14"/>
  <c r="C31" i="14"/>
  <c r="E31" i="14" s="1"/>
  <c r="G30" i="14"/>
  <c r="J30" i="14" s="1"/>
  <c r="F30" i="14"/>
  <c r="D30" i="14"/>
  <c r="C30" i="14"/>
  <c r="E30" i="14" s="1"/>
  <c r="AA28" i="14"/>
  <c r="AA36" i="14" s="1"/>
  <c r="Z28" i="14"/>
  <c r="Z36" i="14" s="1"/>
  <c r="Y28" i="14"/>
  <c r="Y36" i="14" s="1"/>
  <c r="X28" i="14"/>
  <c r="X36" i="14" s="1"/>
  <c r="W28" i="14"/>
  <c r="W36" i="14" s="1"/>
  <c r="V28" i="14"/>
  <c r="U28" i="14"/>
  <c r="T28" i="14"/>
  <c r="T36" i="14" s="1"/>
  <c r="S27" i="14"/>
  <c r="S36" i="14" s="1"/>
  <c r="R27" i="14"/>
  <c r="R36" i="14" s="1"/>
  <c r="Q27" i="14"/>
  <c r="Q36" i="14" s="1"/>
  <c r="P27" i="14"/>
  <c r="P36" i="14" s="1"/>
  <c r="O27" i="14"/>
  <c r="N27" i="14"/>
  <c r="N36" i="14" s="1"/>
  <c r="M27" i="14"/>
  <c r="M36" i="14" s="1"/>
  <c r="L27" i="14"/>
  <c r="L36" i="14" s="1"/>
  <c r="G26" i="14"/>
  <c r="J26" i="14" s="1"/>
  <c r="F26" i="14"/>
  <c r="D26" i="14"/>
  <c r="C26" i="14"/>
  <c r="J25" i="14"/>
  <c r="G25" i="14"/>
  <c r="F25" i="14"/>
  <c r="E25" i="14"/>
  <c r="D25" i="14"/>
  <c r="C25" i="14"/>
  <c r="G24" i="14"/>
  <c r="F24" i="14"/>
  <c r="H24" i="14" s="1"/>
  <c r="D24" i="14"/>
  <c r="J24" i="14" s="1"/>
  <c r="I23" i="14"/>
  <c r="H23" i="14"/>
  <c r="G23" i="14"/>
  <c r="F23" i="14"/>
  <c r="D23" i="14"/>
  <c r="E23" i="14" s="1"/>
  <c r="C23" i="14"/>
  <c r="G22" i="14"/>
  <c r="J22" i="14" s="1"/>
  <c r="F22" i="14"/>
  <c r="D22" i="14"/>
  <c r="C22" i="14"/>
  <c r="G21" i="14"/>
  <c r="F21" i="14"/>
  <c r="C21" i="14"/>
  <c r="G20" i="14"/>
  <c r="J20" i="14" s="1"/>
  <c r="F20" i="14"/>
  <c r="D20" i="14"/>
  <c r="E20" i="14" s="1"/>
  <c r="C20" i="14"/>
  <c r="I19" i="14"/>
  <c r="H19" i="14"/>
  <c r="G19" i="14"/>
  <c r="F19" i="14"/>
  <c r="E19" i="14"/>
  <c r="D19" i="14"/>
  <c r="C19" i="14"/>
  <c r="G18" i="14"/>
  <c r="J18" i="14" s="1"/>
  <c r="F18" i="14"/>
  <c r="D18" i="14"/>
  <c r="C18" i="14"/>
  <c r="G17" i="14"/>
  <c r="J17" i="14" s="1"/>
  <c r="F17" i="14"/>
  <c r="D17" i="14"/>
  <c r="C17" i="14"/>
  <c r="E17" i="14" s="1"/>
  <c r="J16" i="14"/>
  <c r="I16" i="14"/>
  <c r="G16" i="14"/>
  <c r="F16" i="14"/>
  <c r="E16" i="14"/>
  <c r="D16" i="14"/>
  <c r="C16" i="14"/>
  <c r="J15" i="14"/>
  <c r="G15" i="14"/>
  <c r="F15" i="14"/>
  <c r="I15" i="14" s="1"/>
  <c r="E15" i="14"/>
  <c r="D15" i="14"/>
  <c r="C15" i="14"/>
  <c r="I14" i="14"/>
  <c r="G14" i="14"/>
  <c r="F14" i="14"/>
  <c r="H14" i="14" s="1"/>
  <c r="D14" i="14"/>
  <c r="E14" i="14" s="1"/>
  <c r="C14" i="14"/>
  <c r="G13" i="14"/>
  <c r="F13" i="14"/>
  <c r="D13" i="14"/>
  <c r="E21" i="25"/>
  <c r="G20" i="25"/>
  <c r="E17" i="25"/>
  <c r="E16" i="25"/>
  <c r="D14" i="25"/>
  <c r="E27" i="24"/>
  <c r="E26" i="24"/>
  <c r="D26" i="24"/>
  <c r="E24" i="24"/>
  <c r="D24" i="24"/>
  <c r="D23" i="24"/>
  <c r="D22" i="24"/>
  <c r="E16" i="24"/>
  <c r="D16" i="24"/>
  <c r="E15" i="24"/>
  <c r="D14" i="24"/>
  <c r="E13" i="24"/>
  <c r="E11" i="24"/>
  <c r="D11" i="24"/>
  <c r="H42" i="17" l="1"/>
  <c r="I42" i="17" s="1"/>
  <c r="H34" i="17"/>
  <c r="E14" i="24" s="1"/>
  <c r="F27" i="17"/>
  <c r="H13" i="17"/>
  <c r="I13" i="17" s="1"/>
  <c r="J45" i="14"/>
  <c r="H45" i="14"/>
  <c r="L98" i="14"/>
  <c r="AX83" i="14"/>
  <c r="BB81" i="14"/>
  <c r="BB79" i="14"/>
  <c r="AY86" i="14"/>
  <c r="AW86" i="14"/>
  <c r="AX86" i="14"/>
  <c r="H67" i="14"/>
  <c r="G19" i="25" s="1"/>
  <c r="J62" i="14"/>
  <c r="H48" i="14"/>
  <c r="G59" i="14"/>
  <c r="G68" i="14" s="1"/>
  <c r="F33" i="10" s="1"/>
  <c r="I50" i="14"/>
  <c r="G60" i="14"/>
  <c r="M68" i="14"/>
  <c r="F59" i="14"/>
  <c r="H34" i="14"/>
  <c r="F28" i="14"/>
  <c r="F13" i="25" s="1"/>
  <c r="J13" i="14"/>
  <c r="F27" i="14"/>
  <c r="F11" i="25" s="1"/>
  <c r="N23" i="10"/>
  <c r="N24" i="10" s="1"/>
  <c r="F24" i="10"/>
  <c r="D24" i="10"/>
  <c r="L24" i="10"/>
  <c r="K108" i="14"/>
  <c r="M104" i="14"/>
  <c r="K14" i="14"/>
  <c r="H25" i="14"/>
  <c r="I25" i="14"/>
  <c r="K31" i="14"/>
  <c r="F15" i="25"/>
  <c r="K48" i="14"/>
  <c r="K53" i="14"/>
  <c r="I64" i="14"/>
  <c r="H64" i="14"/>
  <c r="I70" i="14"/>
  <c r="H70" i="14"/>
  <c r="K70" i="14" s="1"/>
  <c r="D15" i="25"/>
  <c r="H21" i="14"/>
  <c r="I21" i="14"/>
  <c r="BB77" i="14"/>
  <c r="BB83" i="14"/>
  <c r="I24" i="17"/>
  <c r="I26" i="17"/>
  <c r="K72" i="17"/>
  <c r="K15" i="21"/>
  <c r="K23" i="14"/>
  <c r="K51" i="14"/>
  <c r="I56" i="14"/>
  <c r="E56" i="14"/>
  <c r="H58" i="14"/>
  <c r="I58" i="14"/>
  <c r="J67" i="14"/>
  <c r="E67" i="14"/>
  <c r="BC79" i="14"/>
  <c r="O36" i="14"/>
  <c r="G27" i="14"/>
  <c r="J32" i="14"/>
  <c r="H32" i="14"/>
  <c r="F17" i="25"/>
  <c r="V36" i="14"/>
  <c r="H46" i="14"/>
  <c r="I49" i="14"/>
  <c r="H49" i="14"/>
  <c r="K62" i="14"/>
  <c r="AV79" i="14"/>
  <c r="BA79" i="14"/>
  <c r="BC81" i="14"/>
  <c r="G12" i="25"/>
  <c r="D19" i="25"/>
  <c r="E20" i="25"/>
  <c r="H15" i="14"/>
  <c r="H16" i="14"/>
  <c r="I17" i="14"/>
  <c r="H17" i="14"/>
  <c r="I18" i="14"/>
  <c r="E18" i="14"/>
  <c r="H18" i="14"/>
  <c r="K19" i="14"/>
  <c r="I26" i="14"/>
  <c r="H26" i="14"/>
  <c r="I30" i="14"/>
  <c r="I32" i="14"/>
  <c r="E32" i="14"/>
  <c r="H35" i="14"/>
  <c r="I35" i="14"/>
  <c r="H38" i="14"/>
  <c r="K38" i="14" s="1"/>
  <c r="I38" i="14"/>
  <c r="I52" i="14"/>
  <c r="E52" i="14"/>
  <c r="H52" i="14"/>
  <c r="I53" i="14"/>
  <c r="H55" i="14"/>
  <c r="E62" i="14"/>
  <c r="H63" i="14"/>
  <c r="I63" i="14"/>
  <c r="AU83" i="14"/>
  <c r="L85" i="14"/>
  <c r="X85" i="14"/>
  <c r="AA85" i="14"/>
  <c r="AM85" i="14"/>
  <c r="AS81" i="14"/>
  <c r="AV81" i="14" s="1"/>
  <c r="AZ81" i="14"/>
  <c r="BD81" i="14" s="1"/>
  <c r="AY83" i="14"/>
  <c r="BC83" i="14" s="1"/>
  <c r="I25" i="17"/>
  <c r="H13" i="14"/>
  <c r="J14" i="14"/>
  <c r="I20" i="14"/>
  <c r="H20" i="14"/>
  <c r="I22" i="14"/>
  <c r="H22" i="14"/>
  <c r="I47" i="14"/>
  <c r="H47" i="14"/>
  <c r="J56" i="14"/>
  <c r="H56" i="14"/>
  <c r="K57" i="14"/>
  <c r="T68" i="14"/>
  <c r="F60" i="14"/>
  <c r="I85" i="14"/>
  <c r="AT86" i="14" s="1"/>
  <c r="BB86" i="14" s="1"/>
  <c r="AZ77" i="14"/>
  <c r="M108" i="14"/>
  <c r="I16" i="17"/>
  <c r="E27" i="17"/>
  <c r="H56" i="17"/>
  <c r="F65" i="17"/>
  <c r="K50" i="14"/>
  <c r="I51" i="14"/>
  <c r="AS77" i="14"/>
  <c r="BA77" i="14" s="1"/>
  <c r="AZ79" i="14"/>
  <c r="BD79" i="14" s="1"/>
  <c r="BA81" i="14"/>
  <c r="K96" i="14"/>
  <c r="M96" i="14" s="1"/>
  <c r="K9" i="21"/>
  <c r="AB20" i="21"/>
  <c r="E29" i="21"/>
  <c r="J19" i="14"/>
  <c r="E22" i="14"/>
  <c r="J23" i="14"/>
  <c r="E26" i="14"/>
  <c r="U36" i="14"/>
  <c r="G28" i="14"/>
  <c r="H30" i="14"/>
  <c r="I31" i="14"/>
  <c r="E47" i="14"/>
  <c r="J48" i="14"/>
  <c r="H54" i="14"/>
  <c r="I55" i="14"/>
  <c r="H66" i="14"/>
  <c r="F85" i="14"/>
  <c r="AS86" i="14" s="1"/>
  <c r="BA86" i="14" s="1"/>
  <c r="R85" i="14"/>
  <c r="AD85" i="14"/>
  <c r="AP85" i="14"/>
  <c r="BC77" i="14"/>
  <c r="K94" i="14"/>
  <c r="E20" i="17"/>
  <c r="I20" i="17" s="1"/>
  <c r="I51" i="17"/>
  <c r="J14" i="21"/>
  <c r="D21" i="14"/>
  <c r="H14" i="21"/>
  <c r="AB18" i="21"/>
  <c r="I41" i="21"/>
  <c r="H41" i="21"/>
  <c r="G53" i="21"/>
  <c r="U61" i="21"/>
  <c r="H27" i="17"/>
  <c r="F28" i="17"/>
  <c r="E43" i="17"/>
  <c r="I43" i="17" s="1"/>
  <c r="I47" i="17"/>
  <c r="I52" i="17"/>
  <c r="D65" i="17"/>
  <c r="E57" i="17"/>
  <c r="T65" i="17"/>
  <c r="F57" i="17"/>
  <c r="I63" i="17"/>
  <c r="AB7" i="21"/>
  <c r="H17" i="21"/>
  <c r="C24" i="14"/>
  <c r="I17" i="21"/>
  <c r="G20" i="21"/>
  <c r="O29" i="21"/>
  <c r="E38" i="21"/>
  <c r="J38" i="21"/>
  <c r="M61" i="21"/>
  <c r="G52" i="21"/>
  <c r="R11" i="10"/>
  <c r="AB6" i="21"/>
  <c r="I7" i="21"/>
  <c r="H7" i="21"/>
  <c r="I11" i="21"/>
  <c r="H11" i="21"/>
  <c r="T29" i="21"/>
  <c r="F21" i="21"/>
  <c r="I46" i="21"/>
  <c r="H46" i="21"/>
  <c r="I74" i="17"/>
  <c r="T6" i="10"/>
  <c r="U23" i="10"/>
  <c r="W23" i="10" s="1"/>
  <c r="W19" i="10"/>
  <c r="L38" i="21"/>
  <c r="L20" i="21"/>
  <c r="R20" i="21"/>
  <c r="R29" i="21" s="1"/>
  <c r="R38" i="21"/>
  <c r="R52" i="21" s="1"/>
  <c r="R61" i="21" s="1"/>
  <c r="H8" i="21"/>
  <c r="I8" i="21"/>
  <c r="H12" i="21"/>
  <c r="I12" i="21"/>
  <c r="AB16" i="21"/>
  <c r="I19" i="21"/>
  <c r="H19" i="21"/>
  <c r="I28" i="21"/>
  <c r="H28" i="21"/>
  <c r="I40" i="21"/>
  <c r="H40" i="21"/>
  <c r="K43" i="21"/>
  <c r="K48" i="21"/>
  <c r="AZ70" i="21"/>
  <c r="AW76" i="21"/>
  <c r="J163" i="21"/>
  <c r="F154" i="21"/>
  <c r="G57" i="17"/>
  <c r="E22" i="24" s="1"/>
  <c r="J74" i="17"/>
  <c r="K70" i="17"/>
  <c r="P11" i="10"/>
  <c r="F6" i="21"/>
  <c r="F39" i="21"/>
  <c r="T53" i="21"/>
  <c r="AB10" i="21"/>
  <c r="AB17" i="21"/>
  <c r="G27" i="21"/>
  <c r="Q29" i="21"/>
  <c r="J31" i="21"/>
  <c r="H31" i="21"/>
  <c r="K31" i="21" s="1"/>
  <c r="AB39" i="21"/>
  <c r="AS76" i="21"/>
  <c r="AV70" i="21"/>
  <c r="AV76" i="21" s="1"/>
  <c r="AB23" i="21"/>
  <c r="E61" i="21"/>
  <c r="BB76" i="21"/>
  <c r="AS79" i="21"/>
  <c r="AT79" i="21"/>
  <c r="H124" i="21"/>
  <c r="I124" i="21" s="1"/>
  <c r="I155" i="21"/>
  <c r="U6" i="10"/>
  <c r="N38" i="21"/>
  <c r="N52" i="21" s="1"/>
  <c r="N61" i="21" s="1"/>
  <c r="N20" i="21"/>
  <c r="N29" i="21" s="1"/>
  <c r="K16" i="21"/>
  <c r="K23" i="21"/>
  <c r="AB27" i="21"/>
  <c r="K44" i="21"/>
  <c r="AB46" i="21"/>
  <c r="J55" i="21"/>
  <c r="H55" i="21"/>
  <c r="AB60" i="21"/>
  <c r="AZ74" i="21"/>
  <c r="BD74" i="21" s="1"/>
  <c r="AW79" i="21"/>
  <c r="BA79" i="21" s="1"/>
  <c r="H111" i="21"/>
  <c r="I111" i="21" s="1"/>
  <c r="H123" i="21"/>
  <c r="I123" i="21" s="1"/>
  <c r="T19" i="10"/>
  <c r="H10" i="21"/>
  <c r="AB12" i="21"/>
  <c r="H18" i="21"/>
  <c r="W21" i="21"/>
  <c r="H25" i="21"/>
  <c r="V53" i="21"/>
  <c r="V61" i="21" s="1"/>
  <c r="J45" i="21"/>
  <c r="H45" i="21"/>
  <c r="F47" i="21"/>
  <c r="I49" i="21"/>
  <c r="H49" i="21"/>
  <c r="I59" i="21"/>
  <c r="H59" i="21"/>
  <c r="I60" i="21"/>
  <c r="H60" i="21"/>
  <c r="L91" i="21"/>
  <c r="M91" i="21" s="1"/>
  <c r="M87" i="21"/>
  <c r="H42" i="21"/>
  <c r="K50" i="21"/>
  <c r="K51" i="21"/>
  <c r="BC76" i="21"/>
  <c r="AX79" i="21"/>
  <c r="BB79" i="21" s="1"/>
  <c r="H115" i="21"/>
  <c r="I115" i="21" s="1"/>
  <c r="H141" i="21"/>
  <c r="I141" i="21" s="1"/>
  <c r="U163" i="21"/>
  <c r="BB70" i="21"/>
  <c r="F125" i="21"/>
  <c r="BC70" i="21"/>
  <c r="I34" i="17" l="1"/>
  <c r="G10" i="25"/>
  <c r="H59" i="14"/>
  <c r="F36" i="14"/>
  <c r="H27" i="14"/>
  <c r="G11" i="25"/>
  <c r="I21" i="21"/>
  <c r="C28" i="14"/>
  <c r="H125" i="21"/>
  <c r="I125" i="21" s="1"/>
  <c r="C28" i="17"/>
  <c r="K49" i="21"/>
  <c r="F53" i="21"/>
  <c r="T61" i="21"/>
  <c r="F12" i="25"/>
  <c r="H60" i="14"/>
  <c r="G13" i="25"/>
  <c r="F19" i="25"/>
  <c r="K35" i="14"/>
  <c r="K16" i="14"/>
  <c r="E19" i="25"/>
  <c r="K55" i="21"/>
  <c r="W6" i="10"/>
  <c r="U10" i="10"/>
  <c r="W10" i="10" s="1"/>
  <c r="AB59" i="21"/>
  <c r="AB48" i="21"/>
  <c r="AB45" i="21"/>
  <c r="AB44" i="21"/>
  <c r="AB55" i="21"/>
  <c r="H39" i="21"/>
  <c r="I39" i="21"/>
  <c r="C46" i="14"/>
  <c r="BA76" i="21"/>
  <c r="K28" i="21"/>
  <c r="K19" i="21"/>
  <c r="K46" i="21"/>
  <c r="K7" i="21"/>
  <c r="AB38" i="21"/>
  <c r="I24" i="14"/>
  <c r="E24" i="14"/>
  <c r="J53" i="21"/>
  <c r="D60" i="14"/>
  <c r="K14" i="21"/>
  <c r="F68" i="14"/>
  <c r="K20" i="14"/>
  <c r="K55" i="14"/>
  <c r="D16" i="25"/>
  <c r="K15" i="14"/>
  <c r="F16" i="25"/>
  <c r="K32" i="14"/>
  <c r="H28" i="14"/>
  <c r="K42" i="21"/>
  <c r="K60" i="21"/>
  <c r="H47" i="21"/>
  <c r="I47" i="21"/>
  <c r="C54" i="14"/>
  <c r="K10" i="21"/>
  <c r="AB52" i="21"/>
  <c r="AB53" i="21"/>
  <c r="I6" i="21"/>
  <c r="H6" i="21"/>
  <c r="C13" i="14"/>
  <c r="AZ76" i="21"/>
  <c r="BD76" i="21" s="1"/>
  <c r="BD70" i="21"/>
  <c r="L29" i="21"/>
  <c r="F20" i="21"/>
  <c r="K17" i="21"/>
  <c r="F36" i="17"/>
  <c r="H36" i="17" s="1"/>
  <c r="H28" i="17"/>
  <c r="E12" i="24"/>
  <c r="K41" i="21"/>
  <c r="J21" i="14"/>
  <c r="E21" i="14"/>
  <c r="K67" i="14"/>
  <c r="AU86" i="14"/>
  <c r="BC86" i="14" s="1"/>
  <c r="G15" i="25"/>
  <c r="K63" i="14"/>
  <c r="E31" i="10"/>
  <c r="K26" i="14"/>
  <c r="K17" i="14"/>
  <c r="K49" i="14"/>
  <c r="K64" i="14"/>
  <c r="G16" i="25"/>
  <c r="K25" i="14"/>
  <c r="K59" i="21"/>
  <c r="K18" i="21"/>
  <c r="J27" i="21"/>
  <c r="H27" i="21"/>
  <c r="D34" i="14"/>
  <c r="D21" i="25"/>
  <c r="AS83" i="14"/>
  <c r="BA83" i="14" s="1"/>
  <c r="AV77" i="14"/>
  <c r="AV83" i="14" s="1"/>
  <c r="D20" i="25" s="1"/>
  <c r="D10" i="24"/>
  <c r="K74" i="17"/>
  <c r="K12" i="21"/>
  <c r="J52" i="21"/>
  <c r="G61" i="21"/>
  <c r="D59" i="14"/>
  <c r="K66" i="14"/>
  <c r="G17" i="25"/>
  <c r="E21" i="24"/>
  <c r="AB40" i="21"/>
  <c r="AB50" i="21"/>
  <c r="K45" i="21"/>
  <c r="W29" i="21"/>
  <c r="G21" i="21"/>
  <c r="H21" i="21" s="1"/>
  <c r="V19" i="10"/>
  <c r="T23" i="10"/>
  <c r="AB49" i="21"/>
  <c r="AB42" i="21"/>
  <c r="F133" i="21"/>
  <c r="H133" i="21" s="1"/>
  <c r="I133" i="21" s="1"/>
  <c r="AB41" i="21"/>
  <c r="H154" i="21"/>
  <c r="I154" i="21" s="1"/>
  <c r="F163" i="21"/>
  <c r="H163" i="21" s="1"/>
  <c r="I163" i="21" s="1"/>
  <c r="C56" i="17"/>
  <c r="K40" i="21"/>
  <c r="K8" i="21"/>
  <c r="L52" i="21"/>
  <c r="F38" i="21"/>
  <c r="T10" i="10"/>
  <c r="V6" i="10"/>
  <c r="AB43" i="21"/>
  <c r="K11" i="21"/>
  <c r="AB51" i="21"/>
  <c r="J20" i="21"/>
  <c r="G29" i="21"/>
  <c r="D27" i="14"/>
  <c r="H57" i="17"/>
  <c r="I57" i="17" s="1"/>
  <c r="E23" i="24"/>
  <c r="I27" i="17"/>
  <c r="E10" i="24"/>
  <c r="K98" i="14"/>
  <c r="M98" i="14" s="1"/>
  <c r="M94" i="14"/>
  <c r="K30" i="14"/>
  <c r="F14" i="25"/>
  <c r="AB19" i="21"/>
  <c r="AB11" i="21"/>
  <c r="AB9" i="21"/>
  <c r="AB28" i="21"/>
  <c r="AB14" i="21"/>
  <c r="AB15" i="21"/>
  <c r="AB13" i="21"/>
  <c r="AB21" i="21"/>
  <c r="AB8" i="21"/>
  <c r="G65" i="17"/>
  <c r="H65" i="17" s="1"/>
  <c r="AZ83" i="14"/>
  <c r="K56" i="14"/>
  <c r="K47" i="14"/>
  <c r="K22" i="14"/>
  <c r="E14" i="25"/>
  <c r="K52" i="14"/>
  <c r="K18" i="14"/>
  <c r="J27" i="14"/>
  <c r="F10" i="25"/>
  <c r="G36" i="14"/>
  <c r="K58" i="14"/>
  <c r="AB47" i="21"/>
  <c r="K21" i="21" l="1"/>
  <c r="F20" i="25"/>
  <c r="BD83" i="14"/>
  <c r="F30" i="10"/>
  <c r="J29" i="21"/>
  <c r="I38" i="21"/>
  <c r="H38" i="21"/>
  <c r="C45" i="14"/>
  <c r="K6" i="21"/>
  <c r="H53" i="21"/>
  <c r="I53" i="21"/>
  <c r="C60" i="14"/>
  <c r="F31" i="10"/>
  <c r="J36" i="14"/>
  <c r="BD77" i="14"/>
  <c r="L61" i="21"/>
  <c r="F52" i="21"/>
  <c r="D68" i="14"/>
  <c r="J68" i="14" s="1"/>
  <c r="E10" i="25"/>
  <c r="J59" i="14"/>
  <c r="K47" i="21"/>
  <c r="E33" i="10"/>
  <c r="H68" i="14"/>
  <c r="E12" i="25"/>
  <c r="J60" i="14"/>
  <c r="K39" i="21"/>
  <c r="E28" i="14"/>
  <c r="D13" i="25"/>
  <c r="I28" i="14"/>
  <c r="K27" i="21"/>
  <c r="E56" i="17"/>
  <c r="C65" i="17"/>
  <c r="V23" i="10"/>
  <c r="T24" i="10"/>
  <c r="G21" i="25" s="1"/>
  <c r="J61" i="21"/>
  <c r="F32" i="10"/>
  <c r="H36" i="14"/>
  <c r="AC60" i="14" s="1"/>
  <c r="K21" i="14"/>
  <c r="J21" i="21"/>
  <c r="D28" i="14"/>
  <c r="D36" i="14"/>
  <c r="D10" i="25"/>
  <c r="V10" i="10"/>
  <c r="T11" i="10"/>
  <c r="F21" i="25" s="1"/>
  <c r="J34" i="14"/>
  <c r="E34" i="14"/>
  <c r="I28" i="17"/>
  <c r="H20" i="21"/>
  <c r="F29" i="21"/>
  <c r="I20" i="21"/>
  <c r="C27" i="14"/>
  <c r="E13" i="14"/>
  <c r="I13" i="14"/>
  <c r="E54" i="14"/>
  <c r="I54" i="14"/>
  <c r="K24" i="14"/>
  <c r="E46" i="14"/>
  <c r="I46" i="14"/>
  <c r="E28" i="17"/>
  <c r="E36" i="17" s="1"/>
  <c r="I36" i="17" s="1"/>
  <c r="D12" i="24"/>
  <c r="C36" i="17"/>
  <c r="C36" i="14" l="1"/>
  <c r="I36" i="14" s="1"/>
  <c r="E27" i="14"/>
  <c r="D11" i="25"/>
  <c r="I27" i="14"/>
  <c r="K46" i="14"/>
  <c r="K54" i="14"/>
  <c r="D17" i="25"/>
  <c r="K34" i="14"/>
  <c r="G31" i="10"/>
  <c r="AC24" i="14"/>
  <c r="AC57" i="14"/>
  <c r="AC19" i="14"/>
  <c r="AC45" i="14"/>
  <c r="AC62" i="14"/>
  <c r="AC53" i="14"/>
  <c r="AC48" i="14"/>
  <c r="AC67" i="14"/>
  <c r="AC23" i="14"/>
  <c r="AC34" i="14"/>
  <c r="AC14" i="14"/>
  <c r="AC31" i="14"/>
  <c r="AC50" i="14"/>
  <c r="AC51" i="14"/>
  <c r="AC20" i="14"/>
  <c r="AC15" i="14"/>
  <c r="AC32" i="14"/>
  <c r="AC21" i="14"/>
  <c r="AC49" i="14"/>
  <c r="AC25" i="14"/>
  <c r="AC27" i="14"/>
  <c r="AC54" i="14"/>
  <c r="AC56" i="14"/>
  <c r="AC22" i="14"/>
  <c r="AC35" i="14"/>
  <c r="AC13" i="14"/>
  <c r="AC46" i="14"/>
  <c r="AC17" i="14"/>
  <c r="AC64" i="14"/>
  <c r="AC52" i="14"/>
  <c r="AC58" i="14"/>
  <c r="AC47" i="14"/>
  <c r="AC18" i="14"/>
  <c r="AC16" i="14"/>
  <c r="AC59" i="14"/>
  <c r="AC55" i="14"/>
  <c r="AC63" i="14"/>
  <c r="AC26" i="14"/>
  <c r="AC66" i="14"/>
  <c r="AC30" i="14"/>
  <c r="F61" i="21"/>
  <c r="H52" i="21"/>
  <c r="I52" i="21"/>
  <c r="C59" i="14"/>
  <c r="AC28" i="14"/>
  <c r="H29" i="21"/>
  <c r="AC20" i="21" s="1"/>
  <c r="I29" i="21"/>
  <c r="E30" i="10"/>
  <c r="G33" i="10"/>
  <c r="E60" i="14"/>
  <c r="E13" i="25"/>
  <c r="I60" i="14"/>
  <c r="K28" i="14"/>
  <c r="I45" i="14"/>
  <c r="E45" i="14"/>
  <c r="K53" i="21"/>
  <c r="K13" i="14"/>
  <c r="K20" i="21"/>
  <c r="D12" i="25"/>
  <c r="J28" i="14"/>
  <c r="E65" i="17"/>
  <c r="I65" i="17" s="1"/>
  <c r="D21" i="24"/>
  <c r="I56" i="17"/>
  <c r="K38" i="21"/>
  <c r="J26" i="10" l="1"/>
  <c r="R26" i="10"/>
  <c r="L26" i="10"/>
  <c r="N26" i="10"/>
  <c r="H26" i="10"/>
  <c r="F26" i="10"/>
  <c r="P26" i="10"/>
  <c r="D26" i="10"/>
  <c r="B26" i="10"/>
  <c r="I61" i="21"/>
  <c r="E32" i="10"/>
  <c r="H61" i="21"/>
  <c r="K52" i="21"/>
  <c r="K45" i="14"/>
  <c r="E59" i="14"/>
  <c r="C68" i="14"/>
  <c r="I68" i="14" s="1"/>
  <c r="E11" i="25"/>
  <c r="I59" i="14"/>
  <c r="E36" i="14"/>
  <c r="AB45" i="14" s="1"/>
  <c r="AB27" i="14"/>
  <c r="K27" i="14"/>
  <c r="G30" i="10"/>
  <c r="K29" i="21"/>
  <c r="AC24" i="21"/>
  <c r="AC23" i="21"/>
  <c r="AC9" i="21"/>
  <c r="AC13" i="21"/>
  <c r="AC16" i="21"/>
  <c r="AC15" i="21"/>
  <c r="AC19" i="21"/>
  <c r="AC7" i="21"/>
  <c r="AC14" i="21"/>
  <c r="AC18" i="21"/>
  <c r="AC8" i="21"/>
  <c r="AC11" i="21"/>
  <c r="AC25" i="21"/>
  <c r="AC10" i="21"/>
  <c r="AC17" i="21"/>
  <c r="AC12" i="21"/>
  <c r="AC28" i="21"/>
  <c r="AC21" i="21"/>
  <c r="AC27" i="21"/>
  <c r="AC6" i="21"/>
  <c r="AB60" i="14"/>
  <c r="K60" i="14"/>
  <c r="F13" i="10"/>
  <c r="N13" i="10"/>
  <c r="H13" i="10"/>
  <c r="B13" i="10"/>
  <c r="J13" i="10"/>
  <c r="D13" i="10"/>
  <c r="L13" i="10"/>
  <c r="R13" i="10"/>
  <c r="P13" i="10"/>
  <c r="K61" i="21" l="1"/>
  <c r="AC51" i="21"/>
  <c r="G32" i="10"/>
  <c r="AC43" i="21"/>
  <c r="AC48" i="21"/>
  <c r="AC50" i="21"/>
  <c r="AC56" i="21"/>
  <c r="AC44" i="21"/>
  <c r="AC57" i="21"/>
  <c r="AC60" i="21"/>
  <c r="AC45" i="21"/>
  <c r="AC49" i="21"/>
  <c r="AC55" i="21"/>
  <c r="AC46" i="21"/>
  <c r="AC41" i="21"/>
  <c r="AC59" i="21"/>
  <c r="AC42" i="21"/>
  <c r="AC40" i="21"/>
  <c r="AC39" i="21"/>
  <c r="AC47" i="21"/>
  <c r="AC53" i="21"/>
  <c r="AC38" i="21"/>
  <c r="AC52" i="21"/>
  <c r="AB64" i="14"/>
  <c r="AB55" i="14"/>
  <c r="AB15" i="14"/>
  <c r="AB31" i="14"/>
  <c r="AB17" i="14"/>
  <c r="AB35" i="14"/>
  <c r="AB19" i="14"/>
  <c r="AB57" i="14"/>
  <c r="AB66" i="14"/>
  <c r="AB14" i="14"/>
  <c r="AB48" i="14"/>
  <c r="AB20" i="14"/>
  <c r="AB25" i="14"/>
  <c r="AB50" i="14"/>
  <c r="AB23" i="14"/>
  <c r="AB51" i="14"/>
  <c r="AB16" i="14"/>
  <c r="AB53" i="14"/>
  <c r="AB49" i="14"/>
  <c r="AB30" i="14"/>
  <c r="AB58" i="14"/>
  <c r="AB63" i="14"/>
  <c r="AB18" i="14"/>
  <c r="AB47" i="14"/>
  <c r="AB32" i="14"/>
  <c r="AB67" i="14"/>
  <c r="AB56" i="14"/>
  <c r="AB26" i="14"/>
  <c r="AB62" i="14"/>
  <c r="AB52" i="14"/>
  <c r="AB22" i="14"/>
  <c r="AB24" i="14"/>
  <c r="AB21" i="14"/>
  <c r="AB28" i="14"/>
  <c r="AB13" i="14"/>
  <c r="AB46" i="14"/>
  <c r="AB34" i="14"/>
  <c r="K36" i="14"/>
  <c r="AB54" i="14"/>
  <c r="E68" i="14"/>
  <c r="K68" i="14" s="1"/>
  <c r="AB59" i="14"/>
  <c r="K59" i="14"/>
</calcChain>
</file>

<file path=xl/sharedStrings.xml><?xml version="1.0" encoding="utf-8"?>
<sst xmlns="http://schemas.openxmlformats.org/spreadsheetml/2006/main" count="1406" uniqueCount="347">
  <si>
    <t>For the attention of the Department for the Economy (DfE)</t>
  </si>
  <si>
    <t>2021-22 College Development Plan - Progress Report</t>
  </si>
  <si>
    <t>College:</t>
  </si>
  <si>
    <t>Belfast Met</t>
  </si>
  <si>
    <t xml:space="preserve">Period: </t>
  </si>
  <si>
    <t xml:space="preserve">As at end of </t>
  </si>
  <si>
    <t>Classification:</t>
  </si>
  <si>
    <t>NON Confidential</t>
  </si>
  <si>
    <t xml:space="preserve">Objective: </t>
  </si>
  <si>
    <r>
      <t xml:space="preserve">To provide DfE with an update on </t>
    </r>
    <r>
      <rPr>
        <b/>
        <sz val="12"/>
        <color theme="1"/>
        <rFont val="Arial"/>
        <family val="2"/>
      </rPr>
      <t xml:space="preserve">Belfast Met's </t>
    </r>
    <r>
      <rPr>
        <sz val="12"/>
        <color theme="1"/>
        <rFont val="Arial"/>
        <family val="2"/>
      </rPr>
      <t xml:space="preserve">performance against its College Development Plan 2021-22.  </t>
    </r>
  </si>
  <si>
    <t>Reporting Officer:</t>
  </si>
  <si>
    <t xml:space="preserve">Louise Warde Hunter </t>
  </si>
  <si>
    <t>Background</t>
  </si>
  <si>
    <r>
      <rPr>
        <sz val="12"/>
        <color rgb="FF000000"/>
        <rFont val="Arial"/>
        <family val="2"/>
      </rPr>
      <t xml:space="preserve">In November 2021 DfE approved </t>
    </r>
    <r>
      <rPr>
        <b/>
        <sz val="12"/>
        <color rgb="FF000000"/>
        <rFont val="Arial"/>
        <family val="2"/>
      </rPr>
      <t xml:space="preserve">Belfast Met's </t>
    </r>
    <r>
      <rPr>
        <sz val="12"/>
        <color rgb="FF000000"/>
        <rFont val="Arial"/>
        <family val="2"/>
      </rPr>
      <t xml:space="preserve">College Development Plan (CDP) 2021-22 which serves as the baseline against which delivery of operational targets is to be measured throughout the academic year.  
The CDP Progress Report is used to update DfE on progress against:
• Addressing any Residual Qualifications; and
• Overall College Performance using the three CDP report cards:
    o 2021/22 Qualifications;
    o Employers; and 
    o Social Inclusion.
</t>
    </r>
  </si>
  <si>
    <t>The CDP Progress Report provides a reporting template for Colleges to report on progress against CDPs on a four monthly basis. The three reporting periods are as at the end of:
• July 
• November 
• March 
A timetable can be seen below.</t>
  </si>
  <si>
    <t>CDP Progress Report</t>
  </si>
  <si>
    <t>Date of CDR Data Lift*</t>
  </si>
  <si>
    <t>Date Return Due to DfE**</t>
  </si>
  <si>
    <t>to DfE**</t>
  </si>
  <si>
    <t>Tuesday 30 November 2021</t>
  </si>
  <si>
    <t>Friday 17 December 2021</t>
  </si>
  <si>
    <t>Thursday 31 March 2022</t>
  </si>
  <si>
    <t>Friday 15 April 2022</t>
  </si>
  <si>
    <t>Friday 29 July 2022</t>
  </si>
  <si>
    <t>Friday 12 August 2022</t>
  </si>
  <si>
    <t xml:space="preserve">*Dates as per the CDR data lift scehdule. </t>
  </si>
  <si>
    <t xml:space="preserve">**Dates as per the Returns Timetable for the year 01 August 2021 to 31 July 2022. </t>
  </si>
  <si>
    <t xml:space="preserve">Progress reports take into account that the Employer activity is reported for the Departmental financial year (1st April – 31st March) and all other activity is reported for the College academic year (1st August - 31st July). </t>
  </si>
  <si>
    <t xml:space="preserve">We have taken an Outcomes Based approach to setting our key priorities for 2021-22 based on the needs of the population in light of COVID-19 and aligning to the Programme for Government outcomes. 
Residual Qualifications along with the three report cards set out the planned activity for 2021/22 in-line with our approved 2021/22 CDP. 
</t>
  </si>
  <si>
    <t>Our performance against the Residual Qualifications, Overall College Performance and the three report cards has been assessed against the following 4 level colour system (RAG status) to give an ‘at a glance indication’ of progress:</t>
  </si>
  <si>
    <t>On Track / Achieved / Completed</t>
  </si>
  <si>
    <t>Slippages / Areas Being Monitored</t>
  </si>
  <si>
    <t>Not Likely to be Met / Not Met / Not Achieved</t>
  </si>
  <si>
    <t>Not Yet Started / Reported or Data Not Yet Available</t>
  </si>
  <si>
    <t xml:space="preserve">In-year performance is assessed against the full 4 RAG statuses above.  
Year-end performance is only assessed against ‘Completed’, ‘Not Achieved’ or ‘Reports or Data Not Yet Available’. 
It is noted that no tolerances have been applied towards achievement of planned activity and consideration should be given to the supporting narrative where under delivery has been reported.   
</t>
  </si>
  <si>
    <t>Confirmation of the Accuracy and Reliability of the College Data Reported</t>
  </si>
  <si>
    <t>Signed:</t>
  </si>
  <si>
    <t>Date:</t>
  </si>
  <si>
    <t>Principal / Chief Executive on behalf of the college</t>
  </si>
  <si>
    <t>Progress Against Residual Qualifications Included in 2021/22 CDPs</t>
  </si>
  <si>
    <t xml:space="preserve">This section provides DfE with progress against planned enrolment activity as set out in the agreed 2021/22 CDP. 
Progress is assessed against the 4 level colour system. Where a yellow or red RAG status has been provided, reasons for the variance and actions taken / planned are provided.     
</t>
  </si>
  <si>
    <t xml:space="preserve">  </t>
  </si>
  <si>
    <t xml:space="preserve">2019/20 Residual Qualifications </t>
  </si>
  <si>
    <t>Area of Planned Activity</t>
  </si>
  <si>
    <t>2021/22 Planned Activity</t>
  </si>
  <si>
    <t>Completed in 2021/22 Academic Year</t>
  </si>
  <si>
    <t>RAG
Reason(s) for Variances and Actions Taken / Planned</t>
  </si>
  <si>
    <t>FE Activity</t>
  </si>
  <si>
    <t>FT HE in FE</t>
  </si>
  <si>
    <t>PT HE in FE</t>
  </si>
  <si>
    <t>TfS</t>
  </si>
  <si>
    <t>AppsNI</t>
  </si>
  <si>
    <t>HLAs</t>
  </si>
  <si>
    <t>ES</t>
  </si>
  <si>
    <t xml:space="preserve">2020/21 Residual Qualifications </t>
  </si>
  <si>
    <t xml:space="preserve">NB: Breakdown of the Residual Qualifications Report Card can be found in the 'Residual Quals ' tab. </t>
  </si>
  <si>
    <t>Progress Against 2021/22 Qualifications</t>
  </si>
  <si>
    <t xml:space="preserve">This section provides DfE with progress against planned activity as set out in the agreed 2021/22 CDP. 
Progress is measured against the No. of Individuals area of planned activity and assessed against the 4 level colour system. Where a yellow or red RAG status has been provided, reasons for the variance and actions taken / planned are provided.     
</t>
  </si>
  <si>
    <t>2021/22 Qualifications (Academic Year)</t>
  </si>
  <si>
    <t xml:space="preserve">2021/22 Planned Activity
</t>
  </si>
  <si>
    <t>2021/22 Activity Achieved</t>
  </si>
  <si>
    <t>RAG &amp;
Reason(s) for Variances and Action(s) Taken / Planned</t>
  </si>
  <si>
    <t>No. of 
Enrols</t>
  </si>
  <si>
    <t>No. of 
Individuals</t>
  </si>
  <si>
    <t>No. of Individuals</t>
  </si>
  <si>
    <t>FT FE Activity</t>
  </si>
  <si>
    <t>PT FE Activity</t>
  </si>
  <si>
    <t>Skills for Life &amp; Work</t>
  </si>
  <si>
    <t>Traineeships</t>
  </si>
  <si>
    <t>% of AppsNI apprentices who remain on the programme for at least 4 weeks after initial registration and go on to remain on the programme for more than 52 weeks.</t>
  </si>
  <si>
    <t>PSSA</t>
  </si>
  <si>
    <t>No. of Final Yr students enrolled in one+ PSSA subjects</t>
  </si>
  <si>
    <t xml:space="preserve">NB: Breakdown of the 2021/22 Qualification Report Card can be found in the '21-22 Quals' tab. </t>
  </si>
  <si>
    <t>Progress Against Prison Service Delivery Report Card</t>
  </si>
  <si>
    <t xml:space="preserve">This section provides DfE with progress against planned activity as set out in the agreed 2021/22 CDP. 
Progress is assessed against the 4 level colour system. Where a yellow or red RAG status has been provided, reasons for the variance and actions taken / planned are provided.     
</t>
  </si>
  <si>
    <t xml:space="preserve">Prison Service Delivery (Academic Year) </t>
  </si>
  <si>
    <t>Enrols</t>
  </si>
  <si>
    <r>
      <t xml:space="preserve">Prisoners in </t>
    </r>
    <r>
      <rPr>
        <b/>
        <sz val="11"/>
        <color theme="1"/>
        <rFont val="Calibri"/>
        <family val="2"/>
        <scheme val="minor"/>
      </rPr>
      <t xml:space="preserve">Maghaberry Prison </t>
    </r>
    <r>
      <rPr>
        <sz val="11"/>
        <color theme="1"/>
        <rFont val="Calibri"/>
        <family val="2"/>
        <scheme val="minor"/>
      </rPr>
      <t>Undertaking College led courses</t>
    </r>
  </si>
  <si>
    <r>
      <t xml:space="preserve">Prisoners in </t>
    </r>
    <r>
      <rPr>
        <b/>
        <sz val="11"/>
        <color theme="1"/>
        <rFont val="Calibri"/>
        <family val="2"/>
        <scheme val="minor"/>
      </rPr>
      <t xml:space="preserve">Hydebank Prison </t>
    </r>
    <r>
      <rPr>
        <sz val="11"/>
        <color theme="1"/>
        <rFont val="Calibri"/>
        <family val="2"/>
        <scheme val="minor"/>
      </rPr>
      <t>Undertaking College led courses</t>
    </r>
  </si>
  <si>
    <r>
      <t xml:space="preserve">Prisoners in </t>
    </r>
    <r>
      <rPr>
        <b/>
        <sz val="11"/>
        <color theme="1"/>
        <rFont val="Calibri"/>
        <family val="2"/>
        <scheme val="minor"/>
      </rPr>
      <t xml:space="preserve">Magilligan Prison </t>
    </r>
    <r>
      <rPr>
        <sz val="11"/>
        <color theme="1"/>
        <rFont val="Calibri"/>
        <family val="2"/>
        <scheme val="minor"/>
      </rPr>
      <t>Undertaking College led courses</t>
    </r>
  </si>
  <si>
    <t>Progress Against Employers Report Card</t>
  </si>
  <si>
    <t>Employers (2021/22 Financial Year)</t>
  </si>
  <si>
    <t>Programme</t>
  </si>
  <si>
    <t>2021/22 
Planned 
Activity</t>
  </si>
  <si>
    <t>InnovateUs</t>
  </si>
  <si>
    <t xml:space="preserve">No. of projects to be delivered through the InnovateUs programme </t>
  </si>
  <si>
    <t>Budget spend on projects completed</t>
  </si>
  <si>
    <t>£300k</t>
  </si>
  <si>
    <t>Skills Focus</t>
  </si>
  <si>
    <t>No. of enrolments undertaking a Level 2 (and above) qualifications through the Skills Focus Programme</t>
  </si>
  <si>
    <t>£350k</t>
  </si>
  <si>
    <t>Assured Skills Academies</t>
  </si>
  <si>
    <t>No. of Academies to be delivered</t>
  </si>
  <si>
    <t>21 Academies with 320 enrolments equating to 320 individuals</t>
  </si>
  <si>
    <t>Innovation Voucher Scheme</t>
  </si>
  <si>
    <t>No. of vouchers</t>
  </si>
  <si>
    <t>Progress Against Social Inclusion Report Card</t>
  </si>
  <si>
    <t>Social Inclusion (Academic Year)</t>
  </si>
  <si>
    <t>Enrolments within Quintile 1 and 2</t>
  </si>
  <si>
    <t>Enrolments declaring a disability / long term health problem</t>
  </si>
  <si>
    <t>Enrolments on Entry Level and Level 1 Programmes (including Essential Skills)</t>
  </si>
  <si>
    <t>Enrolments on Targeted Programmes:</t>
  </si>
  <si>
    <t>College Connect and Skills for Industry</t>
  </si>
  <si>
    <t>Futures</t>
  </si>
  <si>
    <t>Princes Trust</t>
  </si>
  <si>
    <t>Skill UP</t>
  </si>
  <si>
    <t>Enrolments on ESOL Programmes</t>
  </si>
  <si>
    <t>Overall number of individuals supported by above measures</t>
  </si>
  <si>
    <t>Guidance Notes</t>
  </si>
  <si>
    <t xml:space="preserve">Definitions </t>
  </si>
  <si>
    <t>Notes</t>
  </si>
  <si>
    <t>2021/22 Qualifications Summary</t>
  </si>
  <si>
    <t>Excludes Residual Qualifications</t>
  </si>
  <si>
    <t>FE01-0919 FE Coding Guidance - Course and Student Source of Funding (Addemdum 2)</t>
  </si>
  <si>
    <t>Residual Qualifications</t>
  </si>
  <si>
    <t xml:space="preserve">The purpose is to capture 'residual' enrolments who have returned to finish an enrolment that would normally have been completed, but was delayed by COVID-19 restrictions. </t>
  </si>
  <si>
    <t>Circular FE08-21: Identification of COVID 19 Affected Enrolments</t>
  </si>
  <si>
    <t>Individuals</t>
  </si>
  <si>
    <r>
      <t xml:space="preserve">Individuals are ranked as follows:
1. Full-time courses will take precedence over part-time.
2. Enrolments will be ranked by descending number of student hours.
3. Multiple enrolments with the same number of student hours will be ranked by descending level.
4. The highest ranking enrolment in the programme of study will then be designated as the primary enrolment, and the individual will therefore be defined as per the characteristics of this enrolment. 
5. </t>
    </r>
    <r>
      <rPr>
        <b/>
        <sz val="11"/>
        <rFont val="Calibri"/>
        <family val="2"/>
        <scheme val="minor"/>
      </rPr>
      <t>For Whole College, Essential Skills (ES) and PPSA tables, individual counts are calculated with a base population relevant to the respective table. E.g. for ES, only ES enrolments are considered and consideration is not given to any other courses those individuals are enrolled on outside the specified area.</t>
    </r>
  </si>
  <si>
    <t xml:space="preserve">As per approach agreed at workshop on 9 March 2020 - issued to colleges 16 March 2020. </t>
  </si>
  <si>
    <t>Enrolments Excluded</t>
  </si>
  <si>
    <t>All Funding Streams</t>
  </si>
  <si>
    <t>Enrolments where the student has withdrawn before 1st November if Full-Time or has not completed 1/9 of their course if Part-Time (FEI_1 = 0)
Enrolments with a student status of '4' - (Transferred)</t>
  </si>
  <si>
    <t>Funding Streams</t>
  </si>
  <si>
    <t xml:space="preserve">Student Source of Funding </t>
  </si>
  <si>
    <t>NVQ Level</t>
  </si>
  <si>
    <t>Mainstream</t>
  </si>
  <si>
    <t xml:space="preserve">07, 18, 96 (Advanced Technical Award) &amp; 99 </t>
  </si>
  <si>
    <t>0,1 2,3,9 OR Blank</t>
  </si>
  <si>
    <t>Cost Recovery</t>
  </si>
  <si>
    <t>45, 46, 58, 59 &amp; 80 (NI Prison Service Provision)</t>
  </si>
  <si>
    <t>Employer Led Activity</t>
  </si>
  <si>
    <t>48: Bridge To Employment Programme</t>
  </si>
  <si>
    <t>49: Business Improvements Techniques Programme</t>
  </si>
  <si>
    <t>52: Assured Skills Programme</t>
  </si>
  <si>
    <t>62: InnovateUs</t>
  </si>
  <si>
    <t>63: Skills Focus Programme</t>
  </si>
  <si>
    <t>FE Entitlement Framework</t>
  </si>
  <si>
    <t>02 &amp; 20</t>
  </si>
  <si>
    <t>Other</t>
  </si>
  <si>
    <t>60 &amp; 98</t>
  </si>
  <si>
    <t>70: Skills Intervention</t>
  </si>
  <si>
    <t>71: Skill Up - Flexible Skills Fund</t>
  </si>
  <si>
    <t>Total FE</t>
  </si>
  <si>
    <t>As per Above</t>
  </si>
  <si>
    <t>Total HE in FE</t>
  </si>
  <si>
    <t>All codes excluding (Government Training Programmes)</t>
  </si>
  <si>
    <t>4,5 6,7,8</t>
  </si>
  <si>
    <t>Government Training Programmes</t>
  </si>
  <si>
    <t>42 - Skills for Life and Work  (from 2021/22)</t>
  </si>
  <si>
    <t>43 - Tfs: Skills for Your Life, 44 - Tfs: Skills for Work</t>
  </si>
  <si>
    <t xml:space="preserve">51: ApprenticeshipsNI    </t>
  </si>
  <si>
    <t>66 &amp; 69: HLAs</t>
  </si>
  <si>
    <t>97: Traineeships</t>
  </si>
  <si>
    <t>Mode of Attendance</t>
  </si>
  <si>
    <t>Student Mode of Attendance</t>
  </si>
  <si>
    <t>FT</t>
  </si>
  <si>
    <t>'01 - Full-time &gt;=30 Wks and 20  - Combined Full-time (Primary)</t>
  </si>
  <si>
    <t>PT</t>
  </si>
  <si>
    <t>All codes excluding ( 01 &amp; 20)</t>
  </si>
  <si>
    <t>GCSE/A-Level</t>
  </si>
  <si>
    <t>Qualification Aim</t>
  </si>
  <si>
    <t>GCSE/A-Level Enrolments</t>
  </si>
  <si>
    <t>560 - GCSE, 614 - AS Level &amp; 615 - A2 Level</t>
  </si>
  <si>
    <t>Regulated Status</t>
  </si>
  <si>
    <t>Regulated Indicator</t>
  </si>
  <si>
    <t>Non - Regulated</t>
  </si>
  <si>
    <t>Essential Skills Age Groups</t>
  </si>
  <si>
    <t>Essential Skills Indicator</t>
  </si>
  <si>
    <t>Age Parameters</t>
  </si>
  <si>
    <t>Under 16</t>
  </si>
  <si>
    <t>&lt;16</t>
  </si>
  <si>
    <t>16-19</t>
  </si>
  <si>
    <t>&gt;=16 AND &lt;=19</t>
  </si>
  <si>
    <t>20+</t>
  </si>
  <si>
    <t>&gt;= 20</t>
  </si>
  <si>
    <t>2021/22 WHOLE COLLEGE ACTIVITY - PROGRESS REPORT   (Excluding Residual Qualifications)</t>
  </si>
  <si>
    <t>INSERT COLLEGE LOGO HERE</t>
  </si>
  <si>
    <t>ENROLMENT ACTIVITY (EXCLUDING ESSENTIAL SKILLS)</t>
  </si>
  <si>
    <t>2021/22 
Planned
Activity</t>
  </si>
  <si>
    <t>2021/22 
Activity Achieved</t>
  </si>
  <si>
    <t>% of 2021/22 
Planned Activity Achieved</t>
  </si>
  <si>
    <t>Level 0</t>
  </si>
  <si>
    <t>Level 1</t>
  </si>
  <si>
    <t>Level 2</t>
  </si>
  <si>
    <t>Level 3</t>
  </si>
  <si>
    <t>Level 4</t>
  </si>
  <si>
    <t>Level 5</t>
  </si>
  <si>
    <t>Level 6</t>
  </si>
  <si>
    <t>Level 7+</t>
  </si>
  <si>
    <t>Planned % of Overall College Provision</t>
  </si>
  <si>
    <t>Actual % of Overall College Provision</t>
  </si>
  <si>
    <t>Enrolments</t>
  </si>
  <si>
    <t>Total</t>
  </si>
  <si>
    <t>FT &amp; PT</t>
  </si>
  <si>
    <t>FE MAINSTREAM: 7, 18, 96 &amp; 99  (Excluding Cost Recovery, Employer Led, Entitlement Framework, Other &amp; Gov Training Programmes)</t>
  </si>
  <si>
    <t>HE MAINSTREAM: 7, 18 &amp; 99  (Excluding Cost Recovery, Employer Led, Entitlement Framework, Other &amp; Gov Training Programmes)</t>
  </si>
  <si>
    <t>FE &amp; HE COST RECOVERY</t>
  </si>
  <si>
    <t>45, 46, 58 &amp; 59</t>
  </si>
  <si>
    <t>80 - NI Prison Service Provision</t>
  </si>
  <si>
    <r>
      <t xml:space="preserve">FE &amp; HE EMPLOYER LED ACTIVITY - </t>
    </r>
    <r>
      <rPr>
        <b/>
        <sz val="11"/>
        <rFont val="Calibri"/>
        <family val="2"/>
        <scheme val="minor"/>
      </rPr>
      <t>Financial Yr</t>
    </r>
  </si>
  <si>
    <t>48: Bridge to Employment</t>
  </si>
  <si>
    <t xml:space="preserve">52: Assured Skills </t>
  </si>
  <si>
    <t>63: Skills Focus</t>
  </si>
  <si>
    <t>FE ENTITLEMENT FRAMEWORK</t>
  </si>
  <si>
    <t>FE &amp; HE OTHER</t>
  </si>
  <si>
    <t>54: ESF</t>
  </si>
  <si>
    <t xml:space="preserve">TOTAL FE </t>
  </si>
  <si>
    <t>TOTAL HE in FE</t>
  </si>
  <si>
    <t>GOVMT TRAINING PROGRAMMES</t>
  </si>
  <si>
    <t>Non - Employed</t>
  </si>
  <si>
    <t>43 &amp; 44 - TfS (L0-3)</t>
  </si>
  <si>
    <t>42 - Skills for Life and Work (L0-2)</t>
  </si>
  <si>
    <t>97 - Traineeships  (L2)</t>
  </si>
  <si>
    <t>Employed</t>
  </si>
  <si>
    <t>51: AppsNI (L2 &amp; 3)</t>
  </si>
  <si>
    <t>66 &amp; 69: HLA (L4 &amp; 5)</t>
  </si>
  <si>
    <t>TOTAL REGULATED AND NON-REGULATED ENROLMENTS</t>
  </si>
  <si>
    <t>NON-REGULATED ONLY</t>
  </si>
  <si>
    <t>INDIVIDUAL ACTIVITY (EXCLUDING ESSENTIAL SKILLS)</t>
  </si>
  <si>
    <t>FE MAINSTREAM: 7, 18. 96 &amp; 99  (Excluding Cost Recovery, Employer Led, Entitlement Framework, Other &amp; Gov Training Programmes)</t>
  </si>
  <si>
    <t>Essential Skills</t>
  </si>
  <si>
    <t>TfS Enrols</t>
  </si>
  <si>
    <t>FE Enrols</t>
  </si>
  <si>
    <t>AppsNI Enrols</t>
  </si>
  <si>
    <t>Traineeships 
Enrols</t>
  </si>
  <si>
    <t>Skills for Life and Work Enrols</t>
  </si>
  <si>
    <t>2021/22 
Planned Enrolments</t>
  </si>
  <si>
    <t>2021/22 
Enrolments Achieved</t>
  </si>
  <si>
    <t>% of 2021/22 
Planned Enrolments 
 Achieved</t>
  </si>
  <si>
    <t>No. of individuals enrolled 
on any ES courses</t>
  </si>
  <si>
    <t>Level</t>
  </si>
  <si>
    <t>EL</t>
  </si>
  <si>
    <t>L1</t>
  </si>
  <si>
    <t>L2</t>
  </si>
  <si>
    <t>2021/22  
Activity Achieved</t>
  </si>
  <si>
    <t>% of 2021/22 
Planned
Activity Achieved</t>
  </si>
  <si>
    <t>Lit</t>
  </si>
  <si>
    <t>Num</t>
  </si>
  <si>
    <t>ICT</t>
  </si>
  <si>
    <t>Age under 16</t>
  </si>
  <si>
    <t>&gt;=16 and &lt;20</t>
  </si>
  <si>
    <t>Age 20 and over</t>
  </si>
  <si>
    <t>Programme Totals</t>
  </si>
  <si>
    <t>l2</t>
  </si>
  <si>
    <t>GCSEs</t>
  </si>
  <si>
    <t>TFS</t>
  </si>
  <si>
    <t xml:space="preserve"> FE</t>
  </si>
  <si>
    <t>Trainee-ships</t>
  </si>
  <si>
    <t>Skills for Life and Work</t>
  </si>
  <si>
    <t>Total enrolments</t>
  </si>
  <si>
    <t>A Level</t>
  </si>
  <si>
    <t>TFS (43 &amp; 44)</t>
  </si>
  <si>
    <t>FE</t>
  </si>
  <si>
    <t>AppsNI (51)</t>
  </si>
  <si>
    <t>Traineeships (TBD)</t>
  </si>
  <si>
    <t>Total  enrolments</t>
  </si>
  <si>
    <t>RESIDUAL QUALIFICATIONS - PROGRESS REPORT</t>
  </si>
  <si>
    <r>
      <rPr>
        <b/>
        <u/>
        <sz val="14"/>
        <color theme="1"/>
        <rFont val="Calibri"/>
        <family val="2"/>
        <scheme val="minor"/>
      </rPr>
      <t>2019/20</t>
    </r>
    <r>
      <rPr>
        <b/>
        <sz val="14"/>
        <color theme="1"/>
        <rFont val="Calibri"/>
        <family val="2"/>
        <scheme val="minor"/>
      </rPr>
      <t xml:space="preserve"> RESIDUAL ENROLMENT ACTIVITY 
(EXCLUDING ESSENTIAL SKILLS)</t>
    </r>
  </si>
  <si>
    <t>2019/20 enrolments planned to be completed in 2021/22 academic year</t>
  </si>
  <si>
    <t>2019/20 enrolment activity completed in 2021/22 Academic Year</t>
  </si>
  <si>
    <t>% of 2019/20 residual activity completed in 2021/22 academic year</t>
  </si>
  <si>
    <t>80 - NI Prison Service</t>
  </si>
  <si>
    <t>N/A</t>
  </si>
  <si>
    <r>
      <rPr>
        <b/>
        <u/>
        <sz val="14"/>
        <color theme="1"/>
        <rFont val="Calibri"/>
        <family val="2"/>
        <scheme val="minor"/>
      </rPr>
      <t>2020/21</t>
    </r>
    <r>
      <rPr>
        <b/>
        <sz val="14"/>
        <color theme="1"/>
        <rFont val="Calibri"/>
        <family val="2"/>
        <scheme val="minor"/>
      </rPr>
      <t xml:space="preserve"> RESIDUAL ENROLMENT ACTIVITY 
(EXCLUDING ESSENTIAL SKILLS)</t>
    </r>
  </si>
  <si>
    <t>2020/21 enrolments planned to be completed in 2021/22 academic year</t>
  </si>
  <si>
    <t>2020/21 enrolment activity completed in 2021/22 Academic Year</t>
  </si>
  <si>
    <t>% of 2020/21 residual activity completed in 2021/22 academic year</t>
  </si>
  <si>
    <t>Total Residual Planned Activity</t>
  </si>
  <si>
    <t>2021/22 Total Residual Activity Achieved</t>
  </si>
  <si>
    <t>% of 2021/22 
Planned Residual Activity Achieved</t>
  </si>
  <si>
    <t>2019/20 Residual enrolments planned to be completed in 2021/22 academic year</t>
  </si>
  <si>
    <t>2019/20 Residual enrolments completed in 2021/22</t>
  </si>
  <si>
    <t>2020/21 Residual enrolments planned to be completed in 2021/22 academic year</t>
  </si>
  <si>
    <t>2020/21 Residual enrolments completed in 2021/22</t>
  </si>
  <si>
    <t>2021/22 Priority Sector Areas &amp; STEM</t>
  </si>
  <si>
    <t>Enrolment Activity</t>
  </si>
  <si>
    <t>Priority Sector Areas and / or 'BROAD' STEM Planned Activity</t>
  </si>
  <si>
    <t>Agri-Foods (including STEM)</t>
  </si>
  <si>
    <t>Advanced Manufacturing Materials and Engineering (including STEM)</t>
  </si>
  <si>
    <t>Construction and Materials Handling (including STEM)</t>
  </si>
  <si>
    <t>Digital and Creative Technologies (including STEM)</t>
  </si>
  <si>
    <t>Finance Business and Professional Services (including STEM)</t>
  </si>
  <si>
    <t>Life and Health Sciences (including STEM)</t>
  </si>
  <si>
    <t>TOTAL PRIORITY SECTOR AREAS ACHIEVED</t>
  </si>
  <si>
    <t>STEM ACHIEVED (not already included in Priority Sector Areas)</t>
  </si>
  <si>
    <t>2021/22 TOTAL PLANNED PSSA ACTIVITY</t>
  </si>
  <si>
    <t>2021/22  TOTAL PSSA ACHIEVED</t>
  </si>
  <si>
    <t>% OF 2021/22 PLANNED PSSA ACTIVITY ACHIEVED</t>
  </si>
  <si>
    <t>L0-1</t>
  </si>
  <si>
    <t>L3</t>
  </si>
  <si>
    <t>L4 +</t>
  </si>
  <si>
    <t>Totals</t>
  </si>
  <si>
    <t>% Planned Provision</t>
  </si>
  <si>
    <t>% Provision Achieved</t>
  </si>
  <si>
    <t>Individual Activity</t>
  </si>
  <si>
    <t xml:space="preserve">Total </t>
  </si>
  <si>
    <r>
      <t xml:space="preserve">2021/22 Planned No, of </t>
    </r>
    <r>
      <rPr>
        <b/>
        <sz val="11"/>
        <color theme="1"/>
        <rFont val="Calibri"/>
        <family val="2"/>
        <scheme val="minor"/>
      </rPr>
      <t>Enrolments</t>
    </r>
    <r>
      <rPr>
        <sz val="11"/>
        <color theme="1"/>
        <rFont val="Calibri"/>
        <family val="2"/>
        <scheme val="minor"/>
      </rPr>
      <t xml:space="preserve"> 
(excluding ES)</t>
    </r>
  </si>
  <si>
    <r>
      <t xml:space="preserve">2021/22 Achieved No. of </t>
    </r>
    <r>
      <rPr>
        <b/>
        <sz val="11"/>
        <color theme="1"/>
        <rFont val="Calibri"/>
        <family val="2"/>
        <scheme val="minor"/>
      </rPr>
      <t xml:space="preserve">Enrolments </t>
    </r>
    <r>
      <rPr>
        <sz val="11"/>
        <color theme="1"/>
        <rFont val="Calibri"/>
        <family val="2"/>
        <scheme val="minor"/>
      </rPr>
      <t xml:space="preserve"> 
(excluding ES)</t>
    </r>
  </si>
  <si>
    <r>
      <t>2021/22 Planned No of Individual</t>
    </r>
    <r>
      <rPr>
        <b/>
        <sz val="11"/>
        <color theme="1"/>
        <rFont val="Calibri"/>
        <family val="2"/>
        <scheme val="minor"/>
      </rPr>
      <t>s</t>
    </r>
    <r>
      <rPr>
        <sz val="11"/>
        <color theme="1"/>
        <rFont val="Calibri"/>
        <family val="2"/>
        <scheme val="minor"/>
      </rPr>
      <t xml:space="preserve"> 
(excluding ES)</t>
    </r>
  </si>
  <si>
    <r>
      <t>2021/22 Achieved No. of Individual</t>
    </r>
    <r>
      <rPr>
        <b/>
        <sz val="11"/>
        <color theme="1"/>
        <rFont val="Calibri"/>
        <family val="2"/>
        <scheme val="minor"/>
      </rPr>
      <t xml:space="preserve">s </t>
    </r>
    <r>
      <rPr>
        <sz val="11"/>
        <color theme="1"/>
        <rFont val="Calibri"/>
        <family val="2"/>
        <scheme val="minor"/>
      </rPr>
      <t xml:space="preserve"> (excluding ES)</t>
    </r>
  </si>
  <si>
    <t>2021/22 WHOLE COLLEGE ACTIVITY    (Excluding Residual Qualifications)</t>
  </si>
  <si>
    <t>2020/21 In-Year Activity</t>
  </si>
  <si>
    <t>2021/22 
Planned Activity</t>
  </si>
  <si>
    <t>% of 2020/21 
In-Year Activity</t>
  </si>
  <si>
    <t>2020/21 % of Overall College Provision</t>
  </si>
  <si>
    <t>2021/22 Planned % of Overall College Provision</t>
  </si>
  <si>
    <t>2020/21 Total In-Year Enrolment Activity</t>
  </si>
  <si>
    <t>2021/22 Total Planned Enrolment Activity</t>
  </si>
  <si>
    <t>% of 2020/21 
In-Year Enrolment Activity</t>
  </si>
  <si>
    <t>2020/21 In-Year Individual Activity</t>
  </si>
  <si>
    <t>2021/22 Planned Individual Activity</t>
  </si>
  <si>
    <t>% of 2020/21 
In-Year Individual Activity</t>
  </si>
  <si>
    <t>2020/21 In-Year Enrolment Activity</t>
  </si>
  <si>
    <t>2021/22 Planned Enrolment Activity</t>
  </si>
  <si>
    <t>2020/21 Total In-Year Activity</t>
  </si>
  <si>
    <t>2021/22 Total Planned Activity</t>
  </si>
  <si>
    <t>Planned Activity</t>
  </si>
  <si>
    <t>Actual Activity</t>
  </si>
  <si>
    <t>RESIDUAL QUALIFICATIONS</t>
  </si>
  <si>
    <t>2019/20 enrolments not completed in 2020/21 academic year</t>
  </si>
  <si>
    <t>% of 2019/20 residual activity planned to be completed</t>
  </si>
  <si>
    <t>2020/21 enrolments not completed in 2020/21 academic year</t>
  </si>
  <si>
    <t>% of 2020/21 residual activity planned to be completed</t>
  </si>
  <si>
    <t>2019/20 enrols not completed in 2020/21 academic year</t>
  </si>
  <si>
    <t>2020/21 enrols not completed in 2020/21 academic year</t>
  </si>
  <si>
    <t>TOTAL PRIORITY SECTOR AREAS</t>
  </si>
  <si>
    <t>STEM (not already included in Priority Sector Areas)</t>
  </si>
  <si>
    <t>2020/21 IN-YEAR TOTAL PRIORITY SECTOR AREAS  +/ OR  STEM ACTIVITY</t>
  </si>
  <si>
    <t>2021/22 PLANNED TOTAL PRIORITY SECTOR AREAS  + / OR STEM</t>
  </si>
  <si>
    <t>% OF 2020/21 IN-YEAR ACTIVITY PRIORITY SECTOR AREAS  + / OR STEM ACTIVITY ACHIEVED</t>
  </si>
  <si>
    <t xml:space="preserve">% Provision </t>
  </si>
  <si>
    <t xml:space="preserve">The College will deliver Skills for Life &amp; Work from September 2022. </t>
  </si>
  <si>
    <t>£300,200</t>
  </si>
  <si>
    <t>£350,069</t>
  </si>
  <si>
    <t xml:space="preserve">There is a shortfall of 13 enrols therefore the College is within 2% of target.  </t>
  </si>
  <si>
    <t xml:space="preserve">Performance against target cannot be assessed until September 2022. </t>
  </si>
  <si>
    <t>78 projects completed</t>
  </si>
  <si>
    <t>22 Academies with 374 enrolments delivered in the 21/22 financial year</t>
  </si>
  <si>
    <t>Skills for Industry completed end of March 2022. College Connect as a six college consortium achieved their overall recruitment target for the year.</t>
  </si>
  <si>
    <t xml:space="preserve">As reported in December 2021, we had hoped that our Winter HE Campaign would help increase FT HE enrolments.  In January 2022 however we confirmed with DfE that enrolments would not increase significantly as many applicants were unable to meet the entry criteria. As at the end of July 2022, this position remains unchanged. </t>
  </si>
  <si>
    <t xml:space="preserve">There is a shortfall of 11 enrols therefore the College is within 5% of target. A number of HLA enrols are in the Public Sector and have therefore been excluded from this heading and instead have been included under PT HE otherwise the target would have been met. </t>
  </si>
  <si>
    <t>Lower numbers than anticipated due to extreme competition in North Belfast from similar internal and external community based programmes.</t>
  </si>
  <si>
    <t xml:space="preserve">Some Academies with anticipated enrols were not delivered impacting on actual enrols in this programme.  </t>
  </si>
  <si>
    <t xml:space="preserve">Enrols exceeded however variance for number of individuals due to shift in prison population e.g release, probation etc.  Please note that numbers in the ERC do not reconcile with actual numbers reported as not all prison service delivery is currently captured in EBS. </t>
  </si>
  <si>
    <t xml:space="preserve">Enrols exceeded however variance for number of individuals due to the shift in the prison population. Please note that numbers in the ERC do not reconcile with actual numbers reported as not all prison service delivery is currently captured in EBS. </t>
  </si>
  <si>
    <t xml:space="preserve">Enrols exceeded however variance for number of individuals due to shift in prison population e.g release, probation etc. Please note that numbers in the ERC do not reconcile with actual numbers reported as not all prison service delivery is currently captured in EBS.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</si>
</sst>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b/>
      <i/>
      <sz val="11"/>
      <color theme="1"/>
      <name val="Calibri"/>
      <family val="2"/>
      <scheme val="minor"/>
    </font>
    <font>
      <b/>
      <sz val="18"/>
      <color theme="1"/>
      <name val="Calibri"/>
      <family val="2"/>
      <scheme val="minor"/>
    </font>
    <font>
      <sz val="12"/>
      <color theme="1"/>
      <name val="Arial"/>
      <family val="2"/>
    </font>
    <font>
      <b/>
      <sz val="12"/>
      <color theme="0"/>
      <name val="Arial"/>
      <family val="2"/>
    </font>
    <font>
      <sz val="11"/>
      <color rgb="FFFF0000"/>
      <name val="Calibri"/>
      <family val="2"/>
      <scheme val="minor"/>
    </font>
    <font>
      <b/>
      <u/>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11"/>
      <color rgb="FF000000"/>
      <name val="Calibri"/>
      <family val="2"/>
      <scheme val="minor"/>
    </font>
    <font>
      <b/>
      <sz val="11"/>
      <name val="Calibri"/>
      <family val="2"/>
      <scheme val="minor"/>
    </font>
    <font>
      <sz val="16"/>
      <color rgb="FFFF0000"/>
      <name val="Calibri"/>
      <family val="2"/>
      <scheme val="minor"/>
    </font>
    <font>
      <b/>
      <sz val="11"/>
      <color rgb="FFFF0000"/>
      <name val="Calibri"/>
      <family val="2"/>
      <scheme val="minor"/>
    </font>
    <font>
      <b/>
      <sz val="25"/>
      <color rgb="FFFF0000"/>
      <name val="Calibri"/>
      <family val="2"/>
      <scheme val="minor"/>
    </font>
    <font>
      <b/>
      <sz val="12"/>
      <name val="Calibri"/>
      <family val="2"/>
      <scheme val="minor"/>
    </font>
    <font>
      <b/>
      <sz val="20"/>
      <color rgb="FFFF0000"/>
      <name val="Calibri"/>
      <family val="2"/>
      <scheme val="minor"/>
    </font>
    <font>
      <b/>
      <sz val="12"/>
      <color theme="1"/>
      <name val="Arial"/>
      <family val="2"/>
    </font>
    <font>
      <sz val="11"/>
      <color theme="1"/>
      <name val="Arial"/>
      <family val="2"/>
    </font>
    <font>
      <sz val="12"/>
      <name val="Arial"/>
      <family val="2"/>
    </font>
    <font>
      <sz val="11"/>
      <name val="Arial"/>
      <family val="2"/>
    </font>
    <font>
      <b/>
      <u/>
      <sz val="14"/>
      <color theme="1"/>
      <name val="Calibri"/>
      <family val="2"/>
      <scheme val="minor"/>
    </font>
    <font>
      <sz val="14"/>
      <color theme="1"/>
      <name val="Calibri"/>
      <family val="2"/>
      <scheme val="minor"/>
    </font>
    <font>
      <b/>
      <sz val="12"/>
      <color rgb="FFFF0000"/>
      <name val="Calibri"/>
      <family val="2"/>
      <scheme val="minor"/>
    </font>
    <font>
      <b/>
      <sz val="12"/>
      <name val="Arial"/>
      <family val="2"/>
    </font>
    <font>
      <sz val="12"/>
      <color theme="8"/>
      <name val="Arial"/>
      <family val="2"/>
    </font>
    <font>
      <sz val="12"/>
      <color rgb="FF000000"/>
      <name val="Arial"/>
      <family val="2"/>
    </font>
    <font>
      <b/>
      <sz val="12"/>
      <color rgb="FF000000"/>
      <name val="Arial"/>
      <family val="2"/>
    </font>
    <font>
      <b/>
      <sz val="11"/>
      <color rgb="FF000000"/>
      <name val="Calibri"/>
      <family val="2"/>
    </font>
    <font>
      <b/>
      <sz val="12"/>
      <color rgb="FF000000"/>
      <name val="Arial"/>
      <family val="2"/>
    </font>
  </fonts>
  <fills count="34">
    <fill>
      <patternFill patternType="none"/>
    </fill>
    <fill>
      <patternFill patternType="gray125"/>
    </fill>
    <fill>
      <patternFill patternType="solid">
        <fgColor theme="0" tint="-0.499984740745262"/>
        <bgColor indexed="64"/>
      </patternFill>
    </fill>
    <fill>
      <patternFill patternType="solid">
        <fgColor rgb="FF00B0F0"/>
        <bgColor indexed="64"/>
      </patternFill>
    </fill>
    <fill>
      <patternFill patternType="solid">
        <fgColor rgb="FFFFFF00"/>
        <bgColor indexed="64"/>
      </patternFill>
    </fill>
    <fill>
      <patternFill patternType="solid">
        <fgColor theme="2" tint="-0.499984740745262"/>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indexed="64"/>
      </patternFill>
    </fill>
    <fill>
      <patternFill patternType="solid">
        <fgColor theme="8"/>
        <bgColor indexed="64"/>
      </patternFill>
    </fill>
    <fill>
      <patternFill patternType="solid">
        <fgColor theme="8"/>
      </patternFill>
    </fill>
    <fill>
      <patternFill patternType="solid">
        <fgColor theme="4" tint="0.39997558519241921"/>
        <bgColor indexed="64"/>
      </patternFill>
    </fill>
    <fill>
      <patternFill patternType="solid">
        <fgColor theme="7" tint="0.59999389629810485"/>
        <bgColor indexed="64"/>
      </patternFill>
    </fill>
    <fill>
      <patternFill patternType="lightDown">
        <bgColor theme="0"/>
      </patternFill>
    </fill>
    <fill>
      <patternFill patternType="solid">
        <fgColor indexed="65"/>
        <bgColor indexed="64"/>
      </patternFill>
    </fill>
    <fill>
      <patternFill patternType="solid">
        <fgColor theme="1"/>
        <bgColor indexed="64"/>
      </patternFill>
    </fill>
    <fill>
      <patternFill patternType="solid">
        <fgColor theme="9"/>
        <bgColor indexed="64"/>
      </patternFill>
    </fill>
    <fill>
      <patternFill patternType="solid">
        <fgColor theme="7"/>
        <bgColor indexed="64"/>
      </patternFill>
    </fill>
    <fill>
      <patternFill patternType="solid">
        <fgColor rgb="FFFF0000"/>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CC99FF"/>
        <bgColor indexed="64"/>
      </patternFill>
    </fill>
    <fill>
      <patternFill patternType="solid">
        <fgColor theme="4"/>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rgb="FFFF9999"/>
        <bgColor indexed="64"/>
      </patternFill>
    </fill>
    <fill>
      <patternFill patternType="solid">
        <fgColor rgb="FF92D050"/>
        <bgColor indexed="64"/>
      </patternFill>
    </fill>
    <fill>
      <patternFill patternType="solid">
        <fgColor rgb="FF70AD47"/>
        <bgColor indexed="64"/>
      </patternFill>
    </fill>
  </fills>
  <borders count="1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right style="medium">
        <color indexed="64"/>
      </right>
      <top style="thick">
        <color indexed="64"/>
      </top>
      <bottom/>
      <diagonal/>
    </border>
    <border>
      <left style="medium">
        <color indexed="64"/>
      </left>
      <right style="medium">
        <color indexed="64"/>
      </right>
      <top style="thick">
        <color indexed="64"/>
      </top>
      <bottom style="medium">
        <color indexed="64"/>
      </bottom>
      <diagonal/>
    </border>
    <border>
      <left/>
      <right style="thin">
        <color indexed="64"/>
      </right>
      <top style="thick">
        <color indexed="64"/>
      </top>
      <bottom/>
      <diagonal/>
    </border>
    <border>
      <left style="medium">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right style="thin">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medium">
        <color indexed="64"/>
      </left>
      <right style="thick">
        <color indexed="64"/>
      </right>
      <top style="medium">
        <color indexed="64"/>
      </top>
      <bottom style="thick">
        <color indexed="64"/>
      </bottom>
      <diagonal/>
    </border>
    <border>
      <left style="thick">
        <color auto="1"/>
      </left>
      <right/>
      <top style="thick">
        <color auto="1"/>
      </top>
      <bottom/>
      <diagonal/>
    </border>
    <border>
      <left/>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medium">
        <color indexed="64"/>
      </right>
      <top style="thick">
        <color indexed="64"/>
      </top>
      <bottom style="medium">
        <color indexed="64"/>
      </bottom>
      <diagonal/>
    </border>
    <border>
      <left style="medium">
        <color auto="1"/>
      </left>
      <right style="thick">
        <color auto="1"/>
      </right>
      <top style="thick">
        <color auto="1"/>
      </top>
      <bottom style="medium">
        <color auto="1"/>
      </bottom>
      <diagonal/>
    </border>
    <border>
      <left/>
      <right style="thin">
        <color indexed="64"/>
      </right>
      <top style="medium">
        <color indexed="64"/>
      </top>
      <bottom style="thick">
        <color indexed="64"/>
      </bottom>
      <diagonal/>
    </border>
    <border>
      <left style="medium">
        <color indexed="64"/>
      </left>
      <right style="medium">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auto="1"/>
      </right>
      <top style="thin">
        <color indexed="64"/>
      </top>
      <bottom style="thick">
        <color indexed="64"/>
      </bottom>
      <diagonal/>
    </border>
  </borders>
  <cellStyleXfs count="3">
    <xf numFmtId="0" fontId="0" fillId="0" borderId="0"/>
    <xf numFmtId="9" fontId="1" fillId="0" borderId="0" applyFont="0" applyFill="0" applyBorder="0" applyAlignment="0" applyProtection="0"/>
    <xf numFmtId="0" fontId="13" fillId="12" borderId="0" applyNumberFormat="0" applyBorder="0" applyAlignment="0" applyProtection="0"/>
  </cellStyleXfs>
  <cellXfs count="1067">
    <xf numFmtId="0" fontId="0" fillId="0" borderId="0" xfId="0"/>
    <xf numFmtId="0" fontId="2" fillId="0" borderId="0" xfId="0" applyFont="1"/>
    <xf numFmtId="0" fontId="11" fillId="0" borderId="0" xfId="0" applyFont="1"/>
    <xf numFmtId="0" fontId="5" fillId="0" borderId="0" xfId="0" applyFont="1"/>
    <xf numFmtId="0" fontId="12" fillId="12" borderId="8" xfId="2" applyFont="1" applyBorder="1" applyAlignment="1">
      <alignment horizontal="center"/>
    </xf>
    <xf numFmtId="0" fontId="12" fillId="12" borderId="8" xfId="2" applyFont="1" applyBorder="1" applyAlignment="1">
      <alignment horizontal="left"/>
    </xf>
    <xf numFmtId="0" fontId="2" fillId="9" borderId="8" xfId="0" applyFont="1" applyFill="1" applyBorder="1" applyAlignment="1">
      <alignment horizontal="center" wrapText="1"/>
    </xf>
    <xf numFmtId="0" fontId="2" fillId="0" borderId="8" xfId="0" applyFont="1" applyBorder="1" applyAlignment="1">
      <alignment horizontal="left" vertical="center" wrapText="1"/>
    </xf>
    <xf numFmtId="0" fontId="14" fillId="0" borderId="8" xfId="0" applyFont="1" applyBorder="1" applyAlignment="1">
      <alignment horizontal="center" vertical="center" wrapText="1"/>
    </xf>
    <xf numFmtId="0" fontId="15" fillId="9" borderId="0" xfId="0" applyFont="1" applyFill="1" applyAlignment="1">
      <alignment horizontal="center" vertical="center"/>
    </xf>
    <xf numFmtId="0" fontId="2" fillId="9" borderId="8" xfId="0" applyFont="1" applyFill="1" applyBorder="1" applyAlignment="1">
      <alignment horizontal="center" vertical="center" wrapText="1"/>
    </xf>
    <xf numFmtId="0" fontId="0" fillId="0" borderId="8" xfId="0" applyBorder="1" applyAlignment="1">
      <alignment horizontal="center" vertical="center" wrapText="1"/>
    </xf>
    <xf numFmtId="0" fontId="14" fillId="9" borderId="8" xfId="0" applyFont="1" applyFill="1" applyBorder="1" applyAlignment="1">
      <alignment horizontal="center"/>
    </xf>
    <xf numFmtId="0" fontId="2" fillId="7" borderId="8" xfId="0" applyFont="1" applyFill="1" applyBorder="1" applyAlignment="1">
      <alignment horizontal="left" wrapText="1"/>
    </xf>
    <xf numFmtId="0" fontId="14" fillId="9" borderId="27" xfId="0" applyFont="1" applyFill="1" applyBorder="1" applyAlignment="1">
      <alignment horizontal="center" vertical="center"/>
    </xf>
    <xf numFmtId="0" fontId="14" fillId="7" borderId="8" xfId="0" applyFont="1" applyFill="1" applyBorder="1" applyAlignment="1">
      <alignment horizontal="left"/>
    </xf>
    <xf numFmtId="0" fontId="0" fillId="9" borderId="8" xfId="0" applyFill="1" applyBorder="1" applyAlignment="1">
      <alignment horizontal="center"/>
    </xf>
    <xf numFmtId="0" fontId="14" fillId="0" borderId="8" xfId="0" applyFont="1" applyBorder="1" applyAlignment="1">
      <alignment horizontal="left"/>
    </xf>
    <xf numFmtId="46" fontId="14" fillId="0" borderId="0" xfId="0" applyNumberFormat="1" applyFont="1"/>
    <xf numFmtId="46" fontId="14" fillId="7" borderId="8" xfId="0" applyNumberFormat="1" applyFont="1" applyFill="1" applyBorder="1" applyAlignment="1">
      <alignment horizontal="left"/>
    </xf>
    <xf numFmtId="0" fontId="2" fillId="9" borderId="8" xfId="0" applyFont="1" applyFill="1" applyBorder="1" applyAlignment="1">
      <alignment horizontal="center"/>
    </xf>
    <xf numFmtId="0" fontId="16" fillId="0" borderId="8" xfId="0" applyFont="1" applyBorder="1" applyAlignment="1">
      <alignment horizontal="left"/>
    </xf>
    <xf numFmtId="0" fontId="0" fillId="0" borderId="8" xfId="0" applyBorder="1" applyAlignment="1">
      <alignment horizontal="center"/>
    </xf>
    <xf numFmtId="0" fontId="0" fillId="0" borderId="0" xfId="0" applyAlignment="1">
      <alignment horizontal="left"/>
    </xf>
    <xf numFmtId="0" fontId="12" fillId="12" borderId="40" xfId="2" applyFont="1" applyBorder="1" applyAlignment="1">
      <alignment horizontal="center" vertical="center"/>
    </xf>
    <xf numFmtId="0" fontId="0" fillId="7" borderId="8" xfId="0" quotePrefix="1" applyFill="1" applyBorder="1" applyAlignment="1">
      <alignment horizontal="left"/>
    </xf>
    <xf numFmtId="0" fontId="2" fillId="7" borderId="8" xfId="0" quotePrefix="1" applyFont="1" applyFill="1" applyBorder="1" applyAlignment="1">
      <alignment horizontal="left"/>
    </xf>
    <xf numFmtId="0" fontId="0" fillId="7" borderId="8" xfId="0" applyFill="1" applyBorder="1" applyAlignment="1">
      <alignment horizontal="left"/>
    </xf>
    <xf numFmtId="0" fontId="2" fillId="7" borderId="8" xfId="0" applyFont="1" applyFill="1" applyBorder="1" applyAlignment="1">
      <alignment horizontal="left"/>
    </xf>
    <xf numFmtId="0" fontId="0" fillId="0" borderId="8" xfId="0" applyBorder="1" applyAlignment="1">
      <alignment horizontal="left"/>
    </xf>
    <xf numFmtId="0" fontId="0" fillId="0" borderId="0" xfId="0" applyAlignment="1">
      <alignment horizontal="center"/>
    </xf>
    <xf numFmtId="0" fontId="2" fillId="7" borderId="53" xfId="0" applyFont="1" applyFill="1" applyBorder="1" applyAlignment="1">
      <alignment horizontal="center" vertical="center" wrapText="1"/>
    </xf>
    <xf numFmtId="3" fontId="0" fillId="7" borderId="23" xfId="0" applyNumberFormat="1" applyFill="1" applyBorder="1" applyAlignment="1" applyProtection="1">
      <alignment horizontal="center" vertical="center" wrapText="1"/>
      <protection locked="0"/>
    </xf>
    <xf numFmtId="3" fontId="0" fillId="7" borderId="62" xfId="0" applyNumberFormat="1" applyFill="1" applyBorder="1" applyAlignment="1" applyProtection="1">
      <alignment horizontal="center" vertical="center" wrapText="1"/>
      <protection locked="0"/>
    </xf>
    <xf numFmtId="3" fontId="0" fillId="7" borderId="23" xfId="0" applyNumberFormat="1" applyFill="1" applyBorder="1" applyAlignment="1" applyProtection="1">
      <alignment horizontal="center" vertical="center"/>
      <protection locked="0"/>
    </xf>
    <xf numFmtId="3" fontId="0" fillId="7" borderId="25" xfId="0" applyNumberFormat="1" applyFill="1" applyBorder="1" applyAlignment="1" applyProtection="1">
      <alignment horizontal="center" vertical="center"/>
      <protection locked="0"/>
    </xf>
    <xf numFmtId="3" fontId="0" fillId="7" borderId="63" xfId="0" applyNumberFormat="1" applyFill="1" applyBorder="1" applyAlignment="1" applyProtection="1">
      <alignment horizontal="center" vertical="center"/>
      <protection locked="0"/>
    </xf>
    <xf numFmtId="3" fontId="0" fillId="7" borderId="62" xfId="0" applyNumberFormat="1" applyFill="1" applyBorder="1" applyAlignment="1" applyProtection="1">
      <alignment horizontal="center" vertical="center"/>
      <protection locked="0"/>
    </xf>
    <xf numFmtId="3" fontId="2" fillId="15" borderId="45" xfId="0" applyNumberFormat="1" applyFont="1" applyFill="1" applyBorder="1" applyAlignment="1">
      <alignment horizontal="center" vertical="center" wrapText="1"/>
    </xf>
    <xf numFmtId="3" fontId="2" fillId="15" borderId="46" xfId="0" applyNumberFormat="1" applyFont="1" applyFill="1" applyBorder="1" applyAlignment="1">
      <alignment horizontal="center" vertical="center" wrapText="1"/>
    </xf>
    <xf numFmtId="3" fontId="2" fillId="15" borderId="44" xfId="0" applyNumberFormat="1" applyFont="1" applyFill="1" applyBorder="1" applyAlignment="1">
      <alignment horizontal="center" vertical="center" wrapText="1"/>
    </xf>
    <xf numFmtId="3" fontId="2" fillId="15" borderId="47" xfId="0" applyNumberFormat="1" applyFont="1" applyFill="1" applyBorder="1" applyAlignment="1">
      <alignment horizontal="center" vertical="center" wrapText="1"/>
    </xf>
    <xf numFmtId="3" fontId="2" fillId="15" borderId="41" xfId="0" applyNumberFormat="1" applyFont="1" applyFill="1" applyBorder="1" applyAlignment="1">
      <alignment horizontal="center" vertical="center" wrapText="1"/>
    </xf>
    <xf numFmtId="3" fontId="2" fillId="15" borderId="8" xfId="0" applyNumberFormat="1" applyFont="1" applyFill="1" applyBorder="1" applyAlignment="1">
      <alignment horizontal="center" vertical="center" wrapText="1"/>
    </xf>
    <xf numFmtId="3" fontId="2" fillId="15" borderId="51" xfId="0" applyNumberFormat="1" applyFont="1" applyFill="1" applyBorder="1" applyAlignment="1">
      <alignment horizontal="center" vertical="center" wrapText="1"/>
    </xf>
    <xf numFmtId="3" fontId="0" fillId="7" borderId="24" xfId="0" applyNumberFormat="1" applyFill="1" applyBorder="1" applyAlignment="1" applyProtection="1">
      <alignment horizontal="center" vertical="center" wrapText="1"/>
      <protection locked="0"/>
    </xf>
    <xf numFmtId="3" fontId="0" fillId="7" borderId="24" xfId="0" applyNumberFormat="1" applyFill="1" applyBorder="1" applyAlignment="1" applyProtection="1">
      <alignment horizontal="center" vertical="center"/>
      <protection locked="0"/>
    </xf>
    <xf numFmtId="0" fontId="0" fillId="0" borderId="61" xfId="0" applyBorder="1" applyAlignment="1">
      <alignment vertical="center" wrapText="1"/>
    </xf>
    <xf numFmtId="0" fontId="0" fillId="7" borderId="61" xfId="0" applyFill="1" applyBorder="1" applyAlignment="1">
      <alignment vertical="center" wrapText="1"/>
    </xf>
    <xf numFmtId="46" fontId="0" fillId="0" borderId="61" xfId="0" applyNumberFormat="1" applyBorder="1" applyAlignment="1">
      <alignment vertical="center"/>
    </xf>
    <xf numFmtId="0" fontId="0" fillId="0" borderId="61" xfId="0" applyBorder="1" applyAlignment="1">
      <alignment vertical="center"/>
    </xf>
    <xf numFmtId="3" fontId="0" fillId="7" borderId="10" xfId="0" applyNumberFormat="1" applyFill="1" applyBorder="1" applyAlignment="1" applyProtection="1">
      <alignment horizontal="center" vertical="center" wrapText="1"/>
      <protection locked="0"/>
    </xf>
    <xf numFmtId="3" fontId="0" fillId="7" borderId="27" xfId="0" applyNumberFormat="1" applyFill="1" applyBorder="1" applyAlignment="1" applyProtection="1">
      <alignment horizontal="center" vertical="center" wrapText="1"/>
      <protection locked="0"/>
    </xf>
    <xf numFmtId="3" fontId="0" fillId="7" borderId="16" xfId="0" applyNumberFormat="1" applyFill="1" applyBorder="1" applyAlignment="1" applyProtection="1">
      <alignment horizontal="center" vertical="center"/>
      <protection locked="0"/>
    </xf>
    <xf numFmtId="3" fontId="0" fillId="7" borderId="27" xfId="0" applyNumberFormat="1" applyFill="1" applyBorder="1" applyAlignment="1" applyProtection="1">
      <alignment horizontal="center" vertical="center"/>
      <protection locked="0"/>
    </xf>
    <xf numFmtId="3" fontId="2" fillId="15" borderId="64" xfId="0" applyNumberFormat="1" applyFont="1" applyFill="1" applyBorder="1" applyAlignment="1">
      <alignment horizontal="center" vertical="center" wrapText="1"/>
    </xf>
    <xf numFmtId="3" fontId="2" fillId="15" borderId="65" xfId="0" applyNumberFormat="1" applyFont="1" applyFill="1" applyBorder="1" applyAlignment="1">
      <alignment horizontal="center" vertical="center" wrapText="1"/>
    </xf>
    <xf numFmtId="3" fontId="2" fillId="15" borderId="22" xfId="0" applyNumberFormat="1" applyFont="1" applyFill="1" applyBorder="1" applyAlignment="1">
      <alignment horizontal="center" vertical="center" wrapText="1"/>
    </xf>
    <xf numFmtId="3" fontId="2" fillId="15" borderId="66" xfId="0" applyNumberFormat="1" applyFont="1" applyFill="1" applyBorder="1" applyAlignment="1">
      <alignment horizontal="center" vertical="center" wrapText="1"/>
    </xf>
    <xf numFmtId="0" fontId="0" fillId="0" borderId="39" xfId="0" applyBorder="1" applyAlignment="1">
      <alignment vertical="center" wrapText="1"/>
    </xf>
    <xf numFmtId="0" fontId="0" fillId="7" borderId="39" xfId="0" applyFill="1" applyBorder="1" applyAlignment="1">
      <alignment vertical="center" wrapText="1"/>
    </xf>
    <xf numFmtId="3" fontId="2" fillId="15" borderId="73" xfId="0" applyNumberFormat="1" applyFont="1" applyFill="1" applyBorder="1" applyAlignment="1">
      <alignment horizontal="center" vertical="center" wrapText="1"/>
    </xf>
    <xf numFmtId="3" fontId="2" fillId="15" borderId="74" xfId="0" applyNumberFormat="1" applyFont="1" applyFill="1" applyBorder="1" applyAlignment="1">
      <alignment horizontal="center" vertical="center" wrapText="1"/>
    </xf>
    <xf numFmtId="3" fontId="2" fillId="15" borderId="75" xfId="0" applyNumberFormat="1" applyFont="1" applyFill="1" applyBorder="1" applyAlignment="1">
      <alignment horizontal="center" vertical="center" wrapText="1"/>
    </xf>
    <xf numFmtId="3" fontId="2" fillId="15" borderId="76" xfId="0" applyNumberFormat="1" applyFont="1" applyFill="1" applyBorder="1" applyAlignment="1">
      <alignment horizontal="center" vertical="center" wrapText="1"/>
    </xf>
    <xf numFmtId="0" fontId="12" fillId="5" borderId="23" xfId="0" applyFont="1" applyFill="1" applyBorder="1" applyAlignment="1">
      <alignment vertical="center"/>
    </xf>
    <xf numFmtId="0" fontId="12" fillId="5" borderId="23" xfId="0" applyFont="1" applyFill="1" applyBorder="1" applyAlignment="1">
      <alignment horizontal="center" vertical="center"/>
    </xf>
    <xf numFmtId="3" fontId="16" fillId="2" borderId="23" xfId="0" applyNumberFormat="1" applyFont="1" applyFill="1" applyBorder="1" applyAlignment="1">
      <alignment horizontal="center" vertical="center" wrapText="1"/>
    </xf>
    <xf numFmtId="3" fontId="16" fillId="2" borderId="25" xfId="0" applyNumberFormat="1" applyFont="1" applyFill="1" applyBorder="1" applyAlignment="1">
      <alignment horizontal="center" vertical="center" wrapText="1"/>
    </xf>
    <xf numFmtId="3" fontId="16" fillId="2" borderId="61" xfId="0" applyNumberFormat="1" applyFont="1" applyFill="1" applyBorder="1" applyAlignment="1">
      <alignment horizontal="center" vertical="center" wrapText="1"/>
    </xf>
    <xf numFmtId="3" fontId="2" fillId="2" borderId="63" xfId="0" applyNumberFormat="1" applyFont="1" applyFill="1" applyBorder="1" applyAlignment="1">
      <alignment horizontal="center" vertical="center" wrapText="1"/>
    </xf>
    <xf numFmtId="3" fontId="2" fillId="2" borderId="24" xfId="0" applyNumberFormat="1" applyFont="1" applyFill="1" applyBorder="1" applyAlignment="1">
      <alignment horizontal="center" vertical="center" wrapText="1"/>
    </xf>
    <xf numFmtId="3" fontId="0" fillId="2" borderId="23" xfId="0" applyNumberFormat="1" applyFill="1" applyBorder="1" applyAlignment="1">
      <alignment horizontal="center" vertical="center"/>
    </xf>
    <xf numFmtId="3" fontId="0" fillId="2" borderId="24" xfId="0" applyNumberFormat="1" applyFill="1" applyBorder="1" applyAlignment="1">
      <alignment horizontal="center" vertical="center"/>
    </xf>
    <xf numFmtId="3" fontId="0" fillId="2" borderId="62" xfId="0" applyNumberFormat="1" applyFill="1" applyBorder="1" applyAlignment="1">
      <alignment horizontal="center" vertical="center"/>
    </xf>
    <xf numFmtId="3" fontId="0" fillId="2" borderId="25" xfId="0" applyNumberFormat="1" applyFill="1" applyBorder="1" applyAlignment="1">
      <alignment horizontal="center" vertical="center"/>
    </xf>
    <xf numFmtId="0" fontId="0" fillId="6" borderId="77" xfId="0" applyFill="1" applyBorder="1" applyAlignment="1">
      <alignment vertical="center"/>
    </xf>
    <xf numFmtId="3" fontId="2" fillId="15" borderId="23" xfId="0" applyNumberFormat="1" applyFont="1" applyFill="1" applyBorder="1" applyAlignment="1">
      <alignment horizontal="center" vertical="center" wrapText="1"/>
    </xf>
    <xf numFmtId="3" fontId="2" fillId="15" borderId="24" xfId="0" applyNumberFormat="1" applyFont="1" applyFill="1" applyBorder="1" applyAlignment="1">
      <alignment horizontal="center" vertical="center" wrapText="1"/>
    </xf>
    <xf numFmtId="3" fontId="2" fillId="15" borderId="62" xfId="0" applyNumberFormat="1" applyFont="1" applyFill="1" applyBorder="1" applyAlignment="1">
      <alignment horizontal="center" vertical="center" wrapText="1"/>
    </xf>
    <xf numFmtId="3" fontId="2" fillId="15" borderId="25" xfId="0" applyNumberFormat="1" applyFont="1" applyFill="1" applyBorder="1" applyAlignment="1">
      <alignment horizontal="center" vertical="center" wrapText="1"/>
    </xf>
    <xf numFmtId="0" fontId="0" fillId="6" borderId="61" xfId="0" applyFill="1" applyBorder="1" applyAlignment="1">
      <alignment vertical="center" wrapText="1"/>
    </xf>
    <xf numFmtId="0" fontId="0" fillId="7" borderId="61" xfId="0" applyFill="1" applyBorder="1" applyAlignment="1">
      <alignment horizontal="center" vertical="center" wrapText="1"/>
    </xf>
    <xf numFmtId="3" fontId="2" fillId="7" borderId="23" xfId="0" applyNumberFormat="1" applyFont="1" applyFill="1" applyBorder="1" applyAlignment="1" applyProtection="1">
      <alignment horizontal="center" vertical="center" wrapText="1"/>
      <protection locked="0"/>
    </xf>
    <xf numFmtId="3" fontId="2" fillId="7" borderId="25" xfId="0" applyNumberFormat="1" applyFont="1" applyFill="1" applyBorder="1" applyAlignment="1" applyProtection="1">
      <alignment horizontal="center" vertical="center" wrapText="1"/>
      <protection locked="0"/>
    </xf>
    <xf numFmtId="3" fontId="2" fillId="7" borderId="63" xfId="0" applyNumberFormat="1" applyFont="1" applyFill="1" applyBorder="1" applyAlignment="1" applyProtection="1">
      <alignment horizontal="center" vertical="center" wrapText="1"/>
      <protection locked="0"/>
    </xf>
    <xf numFmtId="3" fontId="2" fillId="7" borderId="24" xfId="0" applyNumberFormat="1" applyFont="1" applyFill="1" applyBorder="1" applyAlignment="1" applyProtection="1">
      <alignment horizontal="center" vertical="center" wrapText="1"/>
      <protection locked="0"/>
    </xf>
    <xf numFmtId="0" fontId="0" fillId="6" borderId="78" xfId="0" applyFill="1" applyBorder="1" applyAlignment="1">
      <alignment vertical="center"/>
    </xf>
    <xf numFmtId="0" fontId="0" fillId="7" borderId="61" xfId="0" applyFill="1" applyBorder="1" applyAlignment="1">
      <alignment horizontal="center" vertical="center"/>
    </xf>
    <xf numFmtId="0" fontId="12" fillId="5" borderId="37" xfId="0" applyFont="1" applyFill="1" applyBorder="1" applyAlignment="1">
      <alignment vertical="center"/>
    </xf>
    <xf numFmtId="0" fontId="0" fillId="6" borderId="14" xfId="0" applyFill="1" applyBorder="1" applyAlignment="1">
      <alignment vertical="center"/>
    </xf>
    <xf numFmtId="0" fontId="0" fillId="6" borderId="0" xfId="0" applyFill="1" applyAlignment="1">
      <alignment vertical="center"/>
    </xf>
    <xf numFmtId="3" fontId="2" fillId="15" borderId="80" xfId="0" applyNumberFormat="1" applyFont="1" applyFill="1" applyBorder="1" applyAlignment="1">
      <alignment horizontal="center" vertical="center" wrapText="1"/>
    </xf>
    <xf numFmtId="3" fontId="2" fillId="15" borderId="81" xfId="0" applyNumberFormat="1" applyFont="1" applyFill="1" applyBorder="1" applyAlignment="1">
      <alignment horizontal="center" vertical="center" wrapText="1"/>
    </xf>
    <xf numFmtId="3" fontId="0" fillId="7" borderId="80" xfId="0" applyNumberFormat="1" applyFill="1" applyBorder="1" applyAlignment="1" applyProtection="1">
      <alignment horizontal="center" vertical="center"/>
      <protection locked="0"/>
    </xf>
    <xf numFmtId="3" fontId="2" fillId="15" borderId="82" xfId="0" applyNumberFormat="1" applyFont="1" applyFill="1" applyBorder="1" applyAlignment="1">
      <alignment horizontal="center" vertical="center" wrapText="1"/>
    </xf>
    <xf numFmtId="3" fontId="2" fillId="15" borderId="83" xfId="0" applyNumberFormat="1" applyFont="1" applyFill="1" applyBorder="1" applyAlignment="1">
      <alignment horizontal="center" vertical="center" wrapText="1"/>
    </xf>
    <xf numFmtId="0" fontId="2" fillId="17" borderId="5" xfId="0" applyFont="1" applyFill="1" applyBorder="1" applyAlignment="1">
      <alignment vertical="center" wrapText="1"/>
    </xf>
    <xf numFmtId="0" fontId="2" fillId="17" borderId="0" xfId="0" applyFont="1" applyFill="1" applyAlignment="1">
      <alignment vertical="center" wrapText="1"/>
    </xf>
    <xf numFmtId="3" fontId="16" fillId="17" borderId="5" xfId="0" applyNumberFormat="1" applyFont="1" applyFill="1" applyBorder="1" applyAlignment="1">
      <alignment horizontal="center" vertical="center" wrapText="1"/>
    </xf>
    <xf numFmtId="3" fontId="16" fillId="17" borderId="6" xfId="0" applyNumberFormat="1" applyFont="1" applyFill="1" applyBorder="1" applyAlignment="1">
      <alignment horizontal="center" vertical="center" wrapText="1"/>
    </xf>
    <xf numFmtId="3" fontId="16" fillId="17" borderId="0" xfId="0" applyNumberFormat="1" applyFont="1" applyFill="1" applyAlignment="1">
      <alignment horizontal="center" vertical="center" wrapText="1"/>
    </xf>
    <xf numFmtId="3" fontId="0" fillId="17" borderId="0" xfId="0" applyNumberFormat="1" applyFill="1" applyAlignment="1">
      <alignment horizontal="center" vertical="center"/>
    </xf>
    <xf numFmtId="3" fontId="0" fillId="17" borderId="5" xfId="0" applyNumberFormat="1" applyFill="1" applyBorder="1" applyAlignment="1">
      <alignment horizontal="center" vertical="center"/>
    </xf>
    <xf numFmtId="3" fontId="0" fillId="17" borderId="6" xfId="0" applyNumberFormat="1" applyFill="1" applyBorder="1" applyAlignment="1">
      <alignment horizontal="center" vertical="center"/>
    </xf>
    <xf numFmtId="3" fontId="0" fillId="7" borderId="25" xfId="0" applyNumberFormat="1" applyFill="1" applyBorder="1" applyAlignment="1" applyProtection="1">
      <alignment horizontal="center" vertical="center" wrapText="1"/>
      <protection locked="0"/>
    </xf>
    <xf numFmtId="3" fontId="0" fillId="7" borderId="63" xfId="0" applyNumberFormat="1" applyFill="1" applyBorder="1" applyAlignment="1" applyProtection="1">
      <alignment horizontal="center" vertical="center" wrapText="1"/>
      <protection locked="0"/>
    </xf>
    <xf numFmtId="0" fontId="2" fillId="0" borderId="61" xfId="0" applyFont="1" applyBorder="1" applyAlignment="1">
      <alignment horizontal="center" vertical="center" wrapText="1"/>
    </xf>
    <xf numFmtId="0" fontId="3" fillId="7" borderId="64" xfId="0" applyFont="1" applyFill="1" applyBorder="1" applyAlignment="1">
      <alignment horizontal="center" vertical="center"/>
    </xf>
    <xf numFmtId="0" fontId="4" fillId="4" borderId="61" xfId="0" applyFont="1" applyFill="1" applyBorder="1" applyAlignment="1">
      <alignment horizontal="center" vertical="center"/>
    </xf>
    <xf numFmtId="0" fontId="0" fillId="0" borderId="1" xfId="0" applyBorder="1" applyAlignment="1">
      <alignment horizontal="center" vertical="center" wrapText="1"/>
    </xf>
    <xf numFmtId="0" fontId="2" fillId="7" borderId="2" xfId="0" applyFont="1" applyFill="1" applyBorder="1" applyAlignment="1">
      <alignment vertical="center" wrapText="1"/>
    </xf>
    <xf numFmtId="0" fontId="2" fillId="7" borderId="34" xfId="0" applyFont="1" applyFill="1" applyBorder="1" applyAlignment="1">
      <alignment vertical="center" wrapText="1"/>
    </xf>
    <xf numFmtId="9" fontId="0" fillId="0" borderId="38" xfId="0" applyNumberFormat="1" applyBorder="1" applyAlignment="1">
      <alignment horizontal="center" vertical="center"/>
    </xf>
    <xf numFmtId="9" fontId="0" fillId="0" borderId="2" xfId="0" applyNumberFormat="1" applyBorder="1" applyAlignment="1">
      <alignment horizontal="center" vertical="center"/>
    </xf>
    <xf numFmtId="1" fontId="3" fillId="7" borderId="5" xfId="0" applyNumberFormat="1" applyFont="1" applyFill="1" applyBorder="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3" fillId="7" borderId="37" xfId="0" applyFont="1" applyFill="1" applyBorder="1" applyAlignment="1">
      <alignment horizontal="center" vertical="center" wrapText="1"/>
    </xf>
    <xf numFmtId="0" fontId="3" fillId="7" borderId="61" xfId="0" applyFont="1" applyFill="1" applyBorder="1" applyAlignment="1">
      <alignment horizontal="center" vertical="center" wrapText="1"/>
    </xf>
    <xf numFmtId="0" fontId="3" fillId="4" borderId="61" xfId="0" applyFont="1" applyFill="1" applyBorder="1" applyAlignment="1">
      <alignment horizontal="center" vertical="center" wrapText="1"/>
    </xf>
    <xf numFmtId="0" fontId="2" fillId="7" borderId="34" xfId="0" applyFont="1" applyFill="1" applyBorder="1" applyAlignment="1">
      <alignment horizontal="center" vertical="center" wrapText="1"/>
    </xf>
    <xf numFmtId="3" fontId="2" fillId="15" borderId="18" xfId="0" applyNumberFormat="1" applyFont="1" applyFill="1" applyBorder="1" applyAlignment="1">
      <alignment horizontal="center" vertical="center" wrapText="1"/>
    </xf>
    <xf numFmtId="3" fontId="2" fillId="15" borderId="20" xfId="0" applyNumberFormat="1" applyFont="1" applyFill="1" applyBorder="1" applyAlignment="1">
      <alignment horizontal="center" vertical="center" wrapText="1"/>
    </xf>
    <xf numFmtId="3" fontId="2" fillId="15" borderId="17" xfId="0" applyNumberFormat="1" applyFont="1" applyFill="1" applyBorder="1" applyAlignment="1">
      <alignment horizontal="center" vertical="center" wrapText="1"/>
    </xf>
    <xf numFmtId="3" fontId="2" fillId="15" borderId="26" xfId="0" applyNumberFormat="1" applyFont="1" applyFill="1" applyBorder="1" applyAlignment="1">
      <alignment horizontal="center" vertical="center" wrapText="1"/>
    </xf>
    <xf numFmtId="0" fontId="3" fillId="7" borderId="36" xfId="0" applyFont="1" applyFill="1" applyBorder="1" applyAlignment="1">
      <alignment horizontal="center" vertical="center"/>
    </xf>
    <xf numFmtId="0" fontId="0" fillId="7" borderId="0" xfId="0" applyFill="1" applyAlignment="1">
      <alignment vertical="center" wrapText="1"/>
    </xf>
    <xf numFmtId="0" fontId="2" fillId="4" borderId="53" xfId="0" applyFont="1" applyFill="1" applyBorder="1" applyAlignment="1">
      <alignment horizontal="center" vertical="center" wrapText="1"/>
    </xf>
    <xf numFmtId="0" fontId="0" fillId="0" borderId="77" xfId="0" applyBorder="1" applyAlignment="1">
      <alignment horizontal="center" vertical="center" wrapText="1"/>
    </xf>
    <xf numFmtId="0" fontId="0" fillId="0" borderId="92" xfId="0" applyBorder="1" applyAlignment="1">
      <alignment horizontal="center" vertical="center" wrapText="1"/>
    </xf>
    <xf numFmtId="0" fontId="0" fillId="0" borderId="78" xfId="0" applyBorder="1" applyAlignment="1">
      <alignment horizontal="center" vertical="center" wrapText="1"/>
    </xf>
    <xf numFmtId="3" fontId="2" fillId="4" borderId="23" xfId="0" applyNumberFormat="1" applyFont="1" applyFill="1" applyBorder="1" applyAlignment="1">
      <alignment horizontal="center" vertical="center"/>
    </xf>
    <xf numFmtId="3" fontId="2" fillId="4" borderId="24" xfId="0" applyNumberFormat="1" applyFont="1" applyFill="1" applyBorder="1" applyAlignment="1">
      <alignment horizontal="center" vertical="center"/>
    </xf>
    <xf numFmtId="0" fontId="2" fillId="4" borderId="33" xfId="0" applyFont="1" applyFill="1" applyBorder="1" applyAlignment="1">
      <alignment horizontal="center" vertical="center" wrapText="1"/>
    </xf>
    <xf numFmtId="1" fontId="2" fillId="4" borderId="4" xfId="0" applyNumberFormat="1" applyFont="1" applyFill="1" applyBorder="1" applyAlignment="1">
      <alignment horizontal="center" vertical="center" wrapText="1"/>
    </xf>
    <xf numFmtId="0" fontId="0" fillId="4" borderId="36" xfId="0" applyFill="1" applyBorder="1" applyAlignment="1">
      <alignment horizontal="center" vertical="center" wrapText="1"/>
    </xf>
    <xf numFmtId="0" fontId="2" fillId="4" borderId="36" xfId="0" applyFont="1" applyFill="1" applyBorder="1" applyAlignment="1">
      <alignment horizontal="center" vertical="center" wrapText="1"/>
    </xf>
    <xf numFmtId="0" fontId="0" fillId="0" borderId="0" xfId="0" applyAlignment="1">
      <alignment horizontal="left" vertical="center" wrapText="1"/>
    </xf>
    <xf numFmtId="0" fontId="0" fillId="0" borderId="8" xfId="0" applyBorder="1"/>
    <xf numFmtId="0" fontId="8" fillId="0" borderId="0" xfId="0" applyFont="1"/>
    <xf numFmtId="0" fontId="23" fillId="0" borderId="0" xfId="0" applyFont="1"/>
    <xf numFmtId="0" fontId="0" fillId="0" borderId="8" xfId="0" applyBorder="1" applyAlignment="1">
      <alignment wrapText="1"/>
    </xf>
    <xf numFmtId="0" fontId="0" fillId="0" borderId="97" xfId="0" applyBorder="1"/>
    <xf numFmtId="0" fontId="0" fillId="0" borderId="98" xfId="0" applyBorder="1"/>
    <xf numFmtId="0" fontId="0" fillId="0" borderId="93" xfId="0" applyBorder="1"/>
    <xf numFmtId="0" fontId="8" fillId="0" borderId="94" xfId="0" applyFont="1" applyBorder="1"/>
    <xf numFmtId="0" fontId="8" fillId="0" borderId="95" xfId="0" applyFont="1" applyBorder="1"/>
    <xf numFmtId="0" fontId="22" fillId="0" borderId="0" xfId="0" applyFont="1"/>
    <xf numFmtId="0" fontId="8" fillId="0" borderId="0" xfId="0" applyFont="1" applyAlignment="1">
      <alignment wrapText="1"/>
    </xf>
    <xf numFmtId="0" fontId="23" fillId="0" borderId="94" xfId="0" applyFont="1" applyBorder="1"/>
    <xf numFmtId="0" fontId="23" fillId="0" borderId="0" xfId="0" applyFont="1" applyAlignment="1">
      <alignment vertical="center" wrapText="1"/>
    </xf>
    <xf numFmtId="0" fontId="23" fillId="0" borderId="95" xfId="0" applyFont="1" applyBorder="1"/>
    <xf numFmtId="0" fontId="8" fillId="0" borderId="0" xfId="0" applyFont="1" applyAlignment="1">
      <alignment vertical="center" wrapText="1"/>
    </xf>
    <xf numFmtId="0" fontId="23" fillId="18" borderId="0" xfId="0" applyFont="1" applyFill="1"/>
    <xf numFmtId="0" fontId="23" fillId="19" borderId="0" xfId="0" applyFont="1" applyFill="1"/>
    <xf numFmtId="0" fontId="23" fillId="20" borderId="0" xfId="0" applyFont="1" applyFill="1"/>
    <xf numFmtId="0" fontId="23" fillId="3" borderId="0" xfId="0" applyFont="1" applyFill="1"/>
    <xf numFmtId="0" fontId="0" fillId="0" borderId="99" xfId="0" applyBorder="1"/>
    <xf numFmtId="0" fontId="0" fillId="0" borderId="100" xfId="0" applyBorder="1"/>
    <xf numFmtId="0" fontId="0" fillId="0" borderId="101" xfId="0" applyBorder="1"/>
    <xf numFmtId="0" fontId="0" fillId="0" borderId="94" xfId="0" applyBorder="1"/>
    <xf numFmtId="0" fontId="0" fillId="0" borderId="95" xfId="0" applyBorder="1"/>
    <xf numFmtId="0" fontId="0" fillId="0" borderId="95" xfId="0" applyBorder="1" applyAlignment="1">
      <alignment vertical="center" wrapText="1"/>
    </xf>
    <xf numFmtId="0" fontId="0" fillId="0" borderId="0" xfId="0" applyAlignment="1">
      <alignment vertical="center" wrapText="1"/>
    </xf>
    <xf numFmtId="0" fontId="26" fillId="0" borderId="0" xfId="0" applyFont="1"/>
    <xf numFmtId="0" fontId="0" fillId="0" borderId="0" xfId="0" applyAlignment="1">
      <alignment wrapText="1"/>
    </xf>
    <xf numFmtId="0" fontId="2" fillId="0" borderId="0" xfId="0" applyFont="1" applyAlignment="1">
      <alignment wrapText="1"/>
    </xf>
    <xf numFmtId="0" fontId="2" fillId="0" borderId="0" xfId="0" applyFont="1" applyAlignment="1">
      <alignment horizontal="center" wrapText="1"/>
    </xf>
    <xf numFmtId="9" fontId="0" fillId="0" borderId="0" xfId="0" applyNumberFormat="1"/>
    <xf numFmtId="0" fontId="0" fillId="0" borderId="95" xfId="0" applyBorder="1" applyAlignment="1">
      <alignment wrapText="1"/>
    </xf>
    <xf numFmtId="0" fontId="2" fillId="0" borderId="95" xfId="0" applyFont="1" applyBorder="1" applyAlignment="1">
      <alignment wrapText="1"/>
    </xf>
    <xf numFmtId="0" fontId="2" fillId="0" borderId="100" xfId="0" applyFont="1" applyBorder="1"/>
    <xf numFmtId="0" fontId="20" fillId="0" borderId="0" xfId="0" applyFont="1"/>
    <xf numFmtId="0" fontId="4" fillId="0" borderId="0" xfId="0" applyFont="1"/>
    <xf numFmtId="0" fontId="0" fillId="0" borderId="14" xfId="0" applyBorder="1"/>
    <xf numFmtId="0" fontId="0" fillId="0" borderId="40" xfId="0" applyBorder="1" applyAlignment="1">
      <alignment wrapText="1"/>
    </xf>
    <xf numFmtId="0" fontId="0" fillId="0" borderId="40" xfId="0" applyBorder="1"/>
    <xf numFmtId="0" fontId="3" fillId="0" borderId="0" xfId="0" applyFont="1"/>
    <xf numFmtId="0" fontId="2" fillId="7" borderId="33" xfId="0" applyFont="1" applyFill="1" applyBorder="1" applyAlignment="1">
      <alignment horizontal="center" vertical="center" wrapText="1"/>
    </xf>
    <xf numFmtId="0" fontId="2" fillId="4" borderId="61"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4" borderId="70" xfId="0" applyFont="1" applyFill="1" applyBorder="1" applyAlignment="1">
      <alignment horizontal="center" vertical="center" wrapText="1"/>
    </xf>
    <xf numFmtId="0" fontId="2" fillId="4" borderId="34" xfId="0" applyFont="1" applyFill="1" applyBorder="1" applyAlignment="1">
      <alignment horizontal="center" vertical="center" wrapText="1"/>
    </xf>
    <xf numFmtId="1" fontId="0" fillId="7" borderId="18" xfId="0" applyNumberFormat="1" applyFill="1" applyBorder="1" applyAlignment="1" applyProtection="1">
      <alignment horizontal="center" vertical="center"/>
      <protection locked="0"/>
    </xf>
    <xf numFmtId="1" fontId="0" fillId="7" borderId="20" xfId="0" applyNumberFormat="1" applyFill="1" applyBorder="1" applyAlignment="1" applyProtection="1">
      <alignment horizontal="center" vertical="center"/>
      <protection locked="0"/>
    </xf>
    <xf numFmtId="1" fontId="0" fillId="7" borderId="26" xfId="0" applyNumberFormat="1" applyFill="1" applyBorder="1" applyAlignment="1" applyProtection="1">
      <alignment horizontal="center" vertical="center"/>
      <protection locked="0"/>
    </xf>
    <xf numFmtId="1" fontId="0" fillId="7" borderId="16" xfId="0" applyNumberFormat="1" applyFill="1" applyBorder="1" applyAlignment="1" applyProtection="1">
      <alignment horizontal="center" vertical="center"/>
      <protection locked="0"/>
    </xf>
    <xf numFmtId="1" fontId="0" fillId="7" borderId="27" xfId="0" applyNumberFormat="1" applyFill="1" applyBorder="1" applyAlignment="1" applyProtection="1">
      <alignment horizontal="center" vertical="center"/>
      <protection locked="0"/>
    </xf>
    <xf numFmtId="1" fontId="0" fillId="7" borderId="28" xfId="0" applyNumberFormat="1" applyFill="1" applyBorder="1" applyAlignment="1" applyProtection="1">
      <alignment horizontal="center" vertical="center"/>
      <protection locked="0"/>
    </xf>
    <xf numFmtId="3" fontId="2" fillId="15" borderId="63" xfId="0" applyNumberFormat="1" applyFont="1" applyFill="1" applyBorder="1" applyAlignment="1">
      <alignment horizontal="center" vertical="center" wrapText="1"/>
    </xf>
    <xf numFmtId="3" fontId="2" fillId="15" borderId="117" xfId="0" applyNumberFormat="1" applyFont="1" applyFill="1" applyBorder="1" applyAlignment="1">
      <alignment horizontal="center" vertical="center" wrapText="1"/>
    </xf>
    <xf numFmtId="3" fontId="14" fillId="2" borderId="25"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12" fillId="5" borderId="37" xfId="0" applyNumberFormat="1" applyFont="1" applyFill="1" applyBorder="1" applyAlignment="1">
      <alignment vertical="center"/>
    </xf>
    <xf numFmtId="3" fontId="2" fillId="4" borderId="61" xfId="0" applyNumberFormat="1" applyFont="1" applyFill="1" applyBorder="1" applyAlignment="1">
      <alignment horizontal="center" vertical="center"/>
    </xf>
    <xf numFmtId="3" fontId="2" fillId="4" borderId="36" xfId="0" applyNumberFormat="1" applyFont="1" applyFill="1" applyBorder="1" applyAlignment="1">
      <alignment horizontal="center" vertical="center" wrapText="1"/>
    </xf>
    <xf numFmtId="3" fontId="2" fillId="17" borderId="0" xfId="0" applyNumberFormat="1" applyFont="1" applyFill="1" applyAlignment="1">
      <alignment horizontal="center" vertical="center" wrapText="1"/>
    </xf>
    <xf numFmtId="3" fontId="2" fillId="4" borderId="3" xfId="0" applyNumberFormat="1" applyFont="1" applyFill="1" applyBorder="1" applyAlignment="1">
      <alignment horizontal="center" vertical="center" wrapText="1"/>
    </xf>
    <xf numFmtId="3" fontId="2" fillId="4" borderId="70" xfId="0" applyNumberFormat="1" applyFont="1" applyFill="1" applyBorder="1" applyAlignment="1">
      <alignment horizontal="center" vertical="center" wrapText="1"/>
    </xf>
    <xf numFmtId="3" fontId="12" fillId="5" borderId="23" xfId="0" applyNumberFormat="1" applyFont="1" applyFill="1" applyBorder="1" applyAlignment="1">
      <alignment horizontal="center" vertical="center"/>
    </xf>
    <xf numFmtId="3" fontId="2" fillId="4" borderId="116" xfId="0" applyNumberFormat="1" applyFont="1" applyFill="1" applyBorder="1" applyAlignment="1">
      <alignment horizontal="center" vertical="center" wrapText="1"/>
    </xf>
    <xf numFmtId="3" fontId="2" fillId="4" borderId="96" xfId="0" applyNumberFormat="1" applyFont="1" applyFill="1" applyBorder="1" applyAlignment="1">
      <alignment horizontal="center" vertical="center"/>
    </xf>
    <xf numFmtId="3" fontId="12" fillId="5" borderId="53" xfId="0" applyNumberFormat="1" applyFont="1" applyFill="1" applyBorder="1" applyAlignment="1">
      <alignment horizontal="center" vertical="center"/>
    </xf>
    <xf numFmtId="3" fontId="12" fillId="5" borderId="37" xfId="0" applyNumberFormat="1" applyFont="1" applyFill="1" applyBorder="1" applyAlignment="1">
      <alignment horizontal="center" vertical="center"/>
    </xf>
    <xf numFmtId="3" fontId="2" fillId="17" borderId="0" xfId="0" applyNumberFormat="1" applyFont="1" applyFill="1" applyAlignment="1">
      <alignment vertical="center" wrapText="1"/>
    </xf>
    <xf numFmtId="3" fontId="0" fillId="7" borderId="56" xfId="0" applyNumberFormat="1" applyFill="1" applyBorder="1" applyAlignment="1" applyProtection="1">
      <alignment horizontal="center" vertical="center"/>
      <protection locked="0"/>
    </xf>
    <xf numFmtId="3" fontId="20" fillId="4" borderId="29" xfId="0" applyNumberFormat="1" applyFont="1" applyFill="1" applyBorder="1" applyAlignment="1">
      <alignment horizontal="center" vertical="center"/>
    </xf>
    <xf numFmtId="3" fontId="0" fillId="0" borderId="38" xfId="0" applyNumberFormat="1" applyBorder="1" applyAlignment="1">
      <alignment horizontal="center" vertical="center"/>
    </xf>
    <xf numFmtId="3" fontId="0" fillId="0" borderId="2" xfId="0" applyNumberFormat="1" applyBorder="1" applyAlignment="1">
      <alignment horizontal="center" vertical="center"/>
    </xf>
    <xf numFmtId="3" fontId="0" fillId="7" borderId="38" xfId="0" applyNumberFormat="1" applyFill="1" applyBorder="1" applyAlignment="1">
      <alignment horizontal="center" vertical="center"/>
    </xf>
    <xf numFmtId="3" fontId="0" fillId="7" borderId="2" xfId="0" applyNumberFormat="1" applyFill="1" applyBorder="1" applyAlignment="1">
      <alignment horizontal="center" vertical="center"/>
    </xf>
    <xf numFmtId="3" fontId="4" fillId="4" borderId="61" xfId="0" applyNumberFormat="1" applyFont="1" applyFill="1" applyBorder="1" applyAlignment="1">
      <alignment horizontal="center" vertical="center"/>
    </xf>
    <xf numFmtId="3" fontId="3" fillId="4" borderId="37" xfId="0" applyNumberFormat="1" applyFont="1" applyFill="1" applyBorder="1" applyAlignment="1">
      <alignment horizontal="center" vertical="center"/>
    </xf>
    <xf numFmtId="3" fontId="3" fillId="7" borderId="7" xfId="0" applyNumberFormat="1" applyFont="1" applyFill="1" applyBorder="1" applyAlignment="1">
      <alignment horizontal="center" vertical="center"/>
    </xf>
    <xf numFmtId="3" fontId="0" fillId="7" borderId="61" xfId="0" applyNumberFormat="1" applyFill="1" applyBorder="1" applyAlignment="1" applyProtection="1">
      <alignment horizontal="center" vertical="center"/>
      <protection locked="0"/>
    </xf>
    <xf numFmtId="3" fontId="2" fillId="7" borderId="61" xfId="0" applyNumberFormat="1" applyFont="1" applyFill="1" applyBorder="1" applyAlignment="1" applyProtection="1">
      <alignment horizontal="center" vertical="center"/>
      <protection locked="0"/>
    </xf>
    <xf numFmtId="0" fontId="2" fillId="7" borderId="32" xfId="0" applyFont="1" applyFill="1" applyBorder="1" applyAlignment="1">
      <alignment horizontal="center" vertical="center" wrapText="1"/>
    </xf>
    <xf numFmtId="0" fontId="2" fillId="7" borderId="55" xfId="0" applyFont="1" applyFill="1" applyBorder="1" applyAlignment="1">
      <alignment horizontal="center" vertical="center" wrapText="1"/>
    </xf>
    <xf numFmtId="0" fontId="2" fillId="7" borderId="56" xfId="0" applyFont="1" applyFill="1" applyBorder="1" applyAlignment="1">
      <alignment horizontal="center" vertical="center" wrapText="1"/>
    </xf>
    <xf numFmtId="0" fontId="2" fillId="7" borderId="57" xfId="0" applyFont="1" applyFill="1" applyBorder="1" applyAlignment="1">
      <alignment horizontal="center" vertical="center"/>
    </xf>
    <xf numFmtId="0" fontId="2" fillId="7" borderId="57" xfId="0" applyFont="1" applyFill="1" applyBorder="1" applyAlignment="1">
      <alignment horizontal="center" vertical="center" wrapText="1"/>
    </xf>
    <xf numFmtId="0" fontId="2" fillId="7" borderId="58" xfId="0" applyFont="1" applyFill="1" applyBorder="1" applyAlignment="1">
      <alignment horizontal="center" vertical="center" wrapText="1"/>
    </xf>
    <xf numFmtId="0" fontId="2" fillId="7" borderId="59" xfId="0" applyFont="1" applyFill="1" applyBorder="1" applyAlignment="1">
      <alignment horizontal="center" vertical="center" wrapText="1"/>
    </xf>
    <xf numFmtId="0" fontId="0" fillId="14" borderId="14" xfId="0" applyFill="1" applyBorder="1" applyAlignment="1">
      <alignment vertical="center"/>
    </xf>
    <xf numFmtId="0" fontId="0" fillId="14" borderId="0" xfId="0" applyFill="1" applyAlignment="1">
      <alignment vertical="center"/>
    </xf>
    <xf numFmtId="0" fontId="0" fillId="14" borderId="77" xfId="0" applyFill="1" applyBorder="1" applyAlignment="1">
      <alignment vertical="center"/>
    </xf>
    <xf numFmtId="0" fontId="0" fillId="14" borderId="61" xfId="0" applyFill="1" applyBorder="1" applyAlignment="1">
      <alignment vertical="center" wrapText="1"/>
    </xf>
    <xf numFmtId="0" fontId="0" fillId="14" borderId="78" xfId="0" applyFill="1" applyBorder="1" applyAlignment="1">
      <alignment vertical="center"/>
    </xf>
    <xf numFmtId="3" fontId="2" fillId="6" borderId="61" xfId="0" applyNumberFormat="1" applyFont="1" applyFill="1" applyBorder="1" applyAlignment="1">
      <alignment horizontal="center" vertical="center" wrapText="1"/>
    </xf>
    <xf numFmtId="9" fontId="16" fillId="6" borderId="36" xfId="0" applyNumberFormat="1" applyFont="1" applyFill="1" applyBorder="1" applyAlignment="1">
      <alignment horizontal="center" vertical="center" wrapText="1"/>
    </xf>
    <xf numFmtId="3" fontId="2" fillId="6" borderId="36" xfId="0" applyNumberFormat="1" applyFont="1" applyFill="1" applyBorder="1" applyAlignment="1">
      <alignment horizontal="center" vertical="center" wrapText="1"/>
    </xf>
    <xf numFmtId="3" fontId="2" fillId="6" borderId="84" xfId="0" applyNumberFormat="1" applyFont="1" applyFill="1" applyBorder="1" applyAlignment="1">
      <alignment horizontal="center" vertical="center"/>
    </xf>
    <xf numFmtId="3" fontId="2" fillId="6" borderId="85" xfId="0" applyNumberFormat="1" applyFont="1" applyFill="1" applyBorder="1" applyAlignment="1">
      <alignment horizontal="center" vertical="center"/>
    </xf>
    <xf numFmtId="3" fontId="2" fillId="6" borderId="86" xfId="0" applyNumberFormat="1" applyFont="1" applyFill="1" applyBorder="1" applyAlignment="1">
      <alignment horizontal="center" vertical="center"/>
    </xf>
    <xf numFmtId="3" fontId="2" fillId="6" borderId="87" xfId="0" applyNumberFormat="1" applyFont="1" applyFill="1" applyBorder="1" applyAlignment="1">
      <alignment horizontal="center" vertical="center"/>
    </xf>
    <xf numFmtId="3" fontId="2" fillId="6" borderId="88" xfId="0" applyNumberFormat="1" applyFont="1" applyFill="1" applyBorder="1" applyAlignment="1">
      <alignment horizontal="center" vertical="center"/>
    </xf>
    <xf numFmtId="3" fontId="16" fillId="6" borderId="61" xfId="0" applyNumberFormat="1" applyFont="1" applyFill="1" applyBorder="1" applyAlignment="1">
      <alignment horizontal="center" vertical="center" wrapText="1"/>
    </xf>
    <xf numFmtId="9" fontId="16" fillId="6" borderId="7" xfId="0" applyNumberFormat="1" applyFont="1" applyFill="1" applyBorder="1" applyAlignment="1">
      <alignment horizontal="center" vertical="center" wrapText="1"/>
    </xf>
    <xf numFmtId="3" fontId="2" fillId="6" borderId="115" xfId="0" applyNumberFormat="1" applyFont="1" applyFill="1" applyBorder="1" applyAlignment="1">
      <alignment horizontal="center" vertical="center" wrapText="1"/>
    </xf>
    <xf numFmtId="3" fontId="2" fillId="6" borderId="71" xfId="0" applyNumberFormat="1" applyFont="1" applyFill="1" applyBorder="1" applyAlignment="1">
      <alignment horizontal="center" vertical="center" wrapText="1"/>
    </xf>
    <xf numFmtId="9" fontId="16" fillId="6" borderId="71" xfId="0" applyNumberFormat="1" applyFont="1" applyFill="1" applyBorder="1" applyAlignment="1">
      <alignment horizontal="center" vertical="center" wrapText="1"/>
    </xf>
    <xf numFmtId="3" fontId="2" fillId="6" borderId="39" xfId="0" applyNumberFormat="1" applyFont="1" applyFill="1" applyBorder="1" applyAlignment="1">
      <alignment horizontal="center" vertical="center" wrapText="1"/>
    </xf>
    <xf numFmtId="3" fontId="2" fillId="6" borderId="72" xfId="0" applyNumberFormat="1" applyFont="1" applyFill="1" applyBorder="1" applyAlignment="1">
      <alignment horizontal="center" vertical="center" wrapText="1"/>
    </xf>
    <xf numFmtId="3" fontId="2" fillId="6" borderId="56" xfId="0" applyNumberFormat="1" applyFont="1" applyFill="1" applyBorder="1" applyAlignment="1">
      <alignment horizontal="center" vertical="center"/>
    </xf>
    <xf numFmtId="3" fontId="2" fillId="14" borderId="61" xfId="0" applyNumberFormat="1" applyFont="1" applyFill="1" applyBorder="1" applyAlignment="1">
      <alignment horizontal="center" vertical="center" wrapText="1"/>
    </xf>
    <xf numFmtId="9" fontId="16" fillId="14" borderId="36" xfId="0" applyNumberFormat="1" applyFont="1" applyFill="1" applyBorder="1" applyAlignment="1">
      <alignment horizontal="center" vertical="center" wrapText="1"/>
    </xf>
    <xf numFmtId="3" fontId="2" fillId="14" borderId="36" xfId="0" applyNumberFormat="1" applyFont="1" applyFill="1" applyBorder="1" applyAlignment="1">
      <alignment horizontal="center" vertical="center" wrapText="1"/>
    </xf>
    <xf numFmtId="3" fontId="2" fillId="14" borderId="84" xfId="0" applyNumberFormat="1" applyFont="1" applyFill="1" applyBorder="1" applyAlignment="1">
      <alignment horizontal="center" vertical="center"/>
    </xf>
    <xf numFmtId="3" fontId="2" fillId="14" borderId="85" xfId="0" applyNumberFormat="1" applyFont="1" applyFill="1" applyBorder="1" applyAlignment="1">
      <alignment horizontal="center" vertical="center"/>
    </xf>
    <xf numFmtId="3" fontId="2" fillId="14" borderId="86" xfId="0" applyNumberFormat="1" applyFont="1" applyFill="1" applyBorder="1" applyAlignment="1">
      <alignment horizontal="center" vertical="center"/>
    </xf>
    <xf numFmtId="3" fontId="2" fillId="14" borderId="87" xfId="0" applyNumberFormat="1" applyFont="1" applyFill="1" applyBorder="1" applyAlignment="1">
      <alignment horizontal="center" vertical="center"/>
    </xf>
    <xf numFmtId="3" fontId="2" fillId="14" borderId="88" xfId="0" applyNumberFormat="1" applyFont="1" applyFill="1" applyBorder="1" applyAlignment="1">
      <alignment horizontal="center" vertical="center"/>
    </xf>
    <xf numFmtId="3" fontId="16" fillId="14" borderId="61" xfId="0" applyNumberFormat="1" applyFont="1" applyFill="1" applyBorder="1" applyAlignment="1">
      <alignment horizontal="center" vertical="center" wrapText="1"/>
    </xf>
    <xf numFmtId="9" fontId="16" fillId="14" borderId="7" xfId="0" applyNumberFormat="1" applyFont="1" applyFill="1" applyBorder="1" applyAlignment="1">
      <alignment horizontal="center" vertical="center" wrapText="1"/>
    </xf>
    <xf numFmtId="3" fontId="2" fillId="14" borderId="71" xfId="0" applyNumberFormat="1" applyFont="1" applyFill="1" applyBorder="1" applyAlignment="1">
      <alignment horizontal="center" vertical="center" wrapText="1"/>
    </xf>
    <xf numFmtId="9" fontId="16" fillId="14" borderId="71" xfId="0" applyNumberFormat="1" applyFont="1" applyFill="1" applyBorder="1" applyAlignment="1">
      <alignment horizontal="center" vertical="center" wrapText="1"/>
    </xf>
    <xf numFmtId="3" fontId="2" fillId="14" borderId="72" xfId="0" applyNumberFormat="1" applyFont="1" applyFill="1" applyBorder="1" applyAlignment="1">
      <alignment horizontal="center" vertical="center" wrapText="1"/>
    </xf>
    <xf numFmtId="3" fontId="2" fillId="14" borderId="56" xfId="0" applyNumberFormat="1" applyFont="1" applyFill="1" applyBorder="1" applyAlignment="1">
      <alignment horizontal="center" vertical="center"/>
    </xf>
    <xf numFmtId="0" fontId="16" fillId="7" borderId="50" xfId="0" applyFont="1" applyFill="1" applyBorder="1" applyAlignment="1">
      <alignment horizontal="center" vertical="center"/>
    </xf>
    <xf numFmtId="0" fontId="16" fillId="7" borderId="60" xfId="0" applyFont="1" applyFill="1" applyBorder="1" applyAlignment="1">
      <alignment horizontal="center" vertical="center"/>
    </xf>
    <xf numFmtId="0" fontId="2" fillId="7" borderId="54" xfId="0" applyFont="1" applyFill="1" applyBorder="1" applyAlignment="1">
      <alignment horizontal="center" vertical="center" wrapText="1"/>
    </xf>
    <xf numFmtId="0" fontId="4" fillId="14" borderId="61" xfId="0" applyFont="1" applyFill="1" applyBorder="1" applyAlignment="1">
      <alignment horizontal="center" vertical="center"/>
    </xf>
    <xf numFmtId="3" fontId="3" fillId="14" borderId="29" xfId="0" applyNumberFormat="1" applyFont="1" applyFill="1" applyBorder="1" applyAlignment="1">
      <alignment horizontal="center" vertical="center"/>
    </xf>
    <xf numFmtId="9" fontId="20" fillId="14" borderId="36" xfId="0" applyNumberFormat="1" applyFont="1" applyFill="1" applyBorder="1" applyAlignment="1">
      <alignment horizontal="center" vertical="center"/>
    </xf>
    <xf numFmtId="0" fontId="2" fillId="7" borderId="61" xfId="0" applyFont="1" applyFill="1" applyBorder="1" applyAlignment="1">
      <alignment horizontal="center" vertical="center" wrapText="1"/>
    </xf>
    <xf numFmtId="3" fontId="4" fillId="14" borderId="61" xfId="0" applyNumberFormat="1" applyFont="1" applyFill="1" applyBorder="1" applyAlignment="1">
      <alignment horizontal="center" vertical="center"/>
    </xf>
    <xf numFmtId="3" fontId="3" fillId="14" borderId="61" xfId="0" applyNumberFormat="1" applyFont="1" applyFill="1" applyBorder="1" applyAlignment="1">
      <alignment horizontal="center" vertical="center"/>
    </xf>
    <xf numFmtId="9" fontId="20" fillId="14" borderId="61" xfId="0" applyNumberFormat="1" applyFont="1" applyFill="1" applyBorder="1" applyAlignment="1">
      <alignment horizontal="center" vertical="center"/>
    </xf>
    <xf numFmtId="3" fontId="2" fillId="14" borderId="37" xfId="0" applyNumberFormat="1" applyFont="1" applyFill="1" applyBorder="1" applyAlignment="1">
      <alignment horizontal="center" vertical="center" wrapText="1"/>
    </xf>
    <xf numFmtId="0" fontId="2" fillId="14" borderId="61" xfId="0" applyFont="1" applyFill="1" applyBorder="1" applyAlignment="1">
      <alignment horizontal="center" vertical="center" wrapText="1"/>
    </xf>
    <xf numFmtId="0" fontId="2" fillId="14" borderId="71" xfId="0" applyFont="1" applyFill="1" applyBorder="1" applyAlignment="1">
      <alignment horizontal="center" vertical="center" wrapText="1"/>
    </xf>
    <xf numFmtId="0" fontId="2" fillId="14" borderId="36" xfId="0" applyFont="1" applyFill="1" applyBorder="1" applyAlignment="1">
      <alignment horizontal="center" vertical="center" wrapText="1"/>
    </xf>
    <xf numFmtId="3" fontId="2" fillId="14" borderId="12" xfId="0" applyNumberFormat="1" applyFont="1" applyFill="1" applyBorder="1" applyAlignment="1">
      <alignment horizontal="center" vertical="center" wrapText="1"/>
    </xf>
    <xf numFmtId="1" fontId="2" fillId="14" borderId="61" xfId="0" applyNumberFormat="1" applyFont="1" applyFill="1" applyBorder="1" applyAlignment="1">
      <alignment horizontal="center" vertical="center" wrapText="1"/>
    </xf>
    <xf numFmtId="1" fontId="2" fillId="14" borderId="4" xfId="0" applyNumberFormat="1" applyFont="1" applyFill="1" applyBorder="1" applyAlignment="1">
      <alignment horizontal="center" vertical="center"/>
    </xf>
    <xf numFmtId="0" fontId="0" fillId="14" borderId="36" xfId="0" applyFill="1" applyBorder="1" applyAlignment="1">
      <alignment horizontal="center" vertical="center"/>
    </xf>
    <xf numFmtId="0" fontId="16" fillId="14" borderId="23" xfId="0" applyFont="1" applyFill="1" applyBorder="1" applyAlignment="1">
      <alignment vertical="center"/>
    </xf>
    <xf numFmtId="3" fontId="0" fillId="7" borderId="45" xfId="0" applyNumberFormat="1" applyFill="1" applyBorder="1" applyAlignment="1" applyProtection="1">
      <alignment horizontal="center" vertical="center"/>
      <protection locked="0"/>
    </xf>
    <xf numFmtId="3" fontId="0" fillId="7" borderId="46" xfId="0" applyNumberFormat="1" applyFill="1" applyBorder="1" applyAlignment="1" applyProtection="1">
      <alignment horizontal="center" vertical="center"/>
      <protection locked="0"/>
    </xf>
    <xf numFmtId="3" fontId="0" fillId="7" borderId="51" xfId="0" applyNumberFormat="1" applyFill="1" applyBorder="1" applyAlignment="1" applyProtection="1">
      <alignment horizontal="center" vertical="center"/>
      <protection locked="0"/>
    </xf>
    <xf numFmtId="3" fontId="0" fillId="7" borderId="8" xfId="0" applyNumberFormat="1" applyFill="1" applyBorder="1" applyAlignment="1" applyProtection="1">
      <alignment horizontal="center" vertical="center"/>
      <protection locked="0"/>
    </xf>
    <xf numFmtId="3" fontId="0" fillId="7" borderId="57" xfId="0" applyNumberFormat="1" applyFill="1" applyBorder="1" applyAlignment="1" applyProtection="1">
      <alignment horizontal="center" vertical="center"/>
      <protection locked="0"/>
    </xf>
    <xf numFmtId="3" fontId="0" fillId="6" borderId="64" xfId="0" applyNumberFormat="1" applyFill="1" applyBorder="1" applyAlignment="1">
      <alignment horizontal="center" vertical="center"/>
    </xf>
    <xf numFmtId="3" fontId="0" fillId="6" borderId="65" xfId="0" applyNumberFormat="1" applyFill="1" applyBorder="1" applyAlignment="1">
      <alignment horizontal="center" vertical="center"/>
    </xf>
    <xf numFmtId="9" fontId="2" fillId="6" borderId="45" xfId="0" applyNumberFormat="1" applyFont="1" applyFill="1" applyBorder="1" applyAlignment="1">
      <alignment horizontal="center" vertical="center"/>
    </xf>
    <xf numFmtId="9" fontId="2" fillId="6" borderId="47" xfId="0" applyNumberFormat="1" applyFont="1" applyFill="1" applyBorder="1" applyAlignment="1">
      <alignment horizontal="center" vertical="center"/>
    </xf>
    <xf numFmtId="3" fontId="0" fillId="6" borderId="51" xfId="0" applyNumberFormat="1" applyFill="1" applyBorder="1" applyAlignment="1">
      <alignment horizontal="center" vertical="center"/>
    </xf>
    <xf numFmtId="3" fontId="0" fillId="6" borderId="52" xfId="0" applyNumberFormat="1" applyFill="1" applyBorder="1" applyAlignment="1">
      <alignment horizontal="center" vertical="center"/>
    </xf>
    <xf numFmtId="3" fontId="0" fillId="6" borderId="18" xfId="0" applyNumberFormat="1" applyFill="1" applyBorder="1" applyAlignment="1">
      <alignment horizontal="center" vertical="center"/>
    </xf>
    <xf numFmtId="3" fontId="0" fillId="6" borderId="20" xfId="0" applyNumberFormat="1" applyFill="1" applyBorder="1" applyAlignment="1">
      <alignment horizontal="center" vertical="center"/>
    </xf>
    <xf numFmtId="3" fontId="2" fillId="6" borderId="23" xfId="0" applyNumberFormat="1" applyFont="1" applyFill="1" applyBorder="1" applyAlignment="1">
      <alignment horizontal="center" vertical="center"/>
    </xf>
    <xf numFmtId="3" fontId="2" fillId="6" borderId="24" xfId="0" applyNumberFormat="1" applyFont="1" applyFill="1" applyBorder="1" applyAlignment="1">
      <alignment horizontal="center" vertical="center"/>
    </xf>
    <xf numFmtId="9" fontId="2" fillId="6" borderId="23" xfId="0" applyNumberFormat="1" applyFont="1" applyFill="1" applyBorder="1" applyAlignment="1">
      <alignment horizontal="center" vertical="center"/>
    </xf>
    <xf numFmtId="9" fontId="2" fillId="6" borderId="25" xfId="0" applyNumberFormat="1" applyFont="1" applyFill="1" applyBorder="1" applyAlignment="1">
      <alignment horizontal="center" vertical="center"/>
    </xf>
    <xf numFmtId="3" fontId="2" fillId="6" borderId="38" xfId="0" applyNumberFormat="1" applyFont="1" applyFill="1" applyBorder="1" applyAlignment="1">
      <alignment horizontal="center" vertical="center"/>
    </xf>
    <xf numFmtId="3" fontId="2" fillId="14" borderId="64" xfId="0" applyNumberFormat="1" applyFont="1" applyFill="1" applyBorder="1" applyAlignment="1">
      <alignment horizontal="center" vertical="center"/>
    </xf>
    <xf numFmtId="3" fontId="2" fillId="14" borderId="65" xfId="0" applyNumberFormat="1" applyFont="1" applyFill="1" applyBorder="1" applyAlignment="1">
      <alignment horizontal="center" vertical="center"/>
    </xf>
    <xf numFmtId="9" fontId="2" fillId="14" borderId="45" xfId="0" applyNumberFormat="1" applyFont="1" applyFill="1" applyBorder="1" applyAlignment="1">
      <alignment horizontal="center" vertical="center"/>
    </xf>
    <xf numFmtId="9" fontId="2" fillId="14" borderId="47" xfId="0" applyNumberFormat="1" applyFont="1" applyFill="1" applyBorder="1" applyAlignment="1">
      <alignment horizontal="center" vertical="center"/>
    </xf>
    <xf numFmtId="3" fontId="2" fillId="14" borderId="51" xfId="0" applyNumberFormat="1" applyFont="1" applyFill="1" applyBorder="1" applyAlignment="1">
      <alignment horizontal="center" vertical="center"/>
    </xf>
    <xf numFmtId="3" fontId="2" fillId="14" borderId="52" xfId="0" applyNumberFormat="1" applyFont="1" applyFill="1" applyBorder="1" applyAlignment="1">
      <alignment horizontal="center" vertical="center"/>
    </xf>
    <xf numFmtId="3" fontId="2" fillId="14" borderId="18" xfId="0" applyNumberFormat="1" applyFont="1" applyFill="1" applyBorder="1" applyAlignment="1">
      <alignment horizontal="center" vertical="center"/>
    </xf>
    <xf numFmtId="3" fontId="2" fillId="14" borderId="20" xfId="0" applyNumberFormat="1" applyFont="1" applyFill="1" applyBorder="1" applyAlignment="1">
      <alignment horizontal="center" vertical="center"/>
    </xf>
    <xf numFmtId="3" fontId="2" fillId="14" borderId="23" xfId="0" applyNumberFormat="1" applyFont="1" applyFill="1" applyBorder="1" applyAlignment="1">
      <alignment horizontal="center" vertical="center"/>
    </xf>
    <xf numFmtId="3" fontId="2" fillId="14" borderId="24" xfId="0" applyNumberFormat="1" applyFont="1" applyFill="1" applyBorder="1" applyAlignment="1">
      <alignment horizontal="center" vertical="center"/>
    </xf>
    <xf numFmtId="9" fontId="2" fillId="14" borderId="23" xfId="0" applyNumberFormat="1" applyFont="1" applyFill="1" applyBorder="1" applyAlignment="1">
      <alignment horizontal="center" vertical="center"/>
    </xf>
    <xf numFmtId="9" fontId="2" fillId="14" borderId="25" xfId="0" applyNumberFormat="1" applyFont="1" applyFill="1" applyBorder="1" applyAlignment="1">
      <alignment horizontal="center" vertical="center"/>
    </xf>
    <xf numFmtId="3" fontId="2" fillId="14" borderId="38" xfId="0" applyNumberFormat="1" applyFont="1" applyFill="1" applyBorder="1" applyAlignment="1">
      <alignment horizontal="center" vertical="center"/>
    </xf>
    <xf numFmtId="1" fontId="2" fillId="14" borderId="61" xfId="0" applyNumberFormat="1" applyFont="1" applyFill="1" applyBorder="1" applyAlignment="1">
      <alignment horizontal="center" vertical="center"/>
    </xf>
    <xf numFmtId="9" fontId="3" fillId="14" borderId="61" xfId="0" applyNumberFormat="1" applyFont="1" applyFill="1" applyBorder="1" applyAlignment="1">
      <alignment horizontal="center" vertical="center"/>
    </xf>
    <xf numFmtId="1" fontId="2" fillId="4" borderId="61" xfId="0" applyNumberFormat="1" applyFont="1" applyFill="1" applyBorder="1" applyAlignment="1">
      <alignment horizontal="center" vertical="center"/>
    </xf>
    <xf numFmtId="3" fontId="2" fillId="14" borderId="61" xfId="0" applyNumberFormat="1" applyFont="1" applyFill="1" applyBorder="1" applyAlignment="1">
      <alignment horizontal="center" vertical="center"/>
    </xf>
    <xf numFmtId="0" fontId="2" fillId="8" borderId="8" xfId="0" applyFont="1" applyFill="1" applyBorder="1" applyAlignment="1">
      <alignment wrapText="1"/>
    </xf>
    <xf numFmtId="0" fontId="2" fillId="8" borderId="8" xfId="0" applyFont="1" applyFill="1" applyBorder="1" applyAlignment="1">
      <alignment horizontal="center" wrapText="1"/>
    </xf>
    <xf numFmtId="0" fontId="2" fillId="8" borderId="27" xfId="0" applyFont="1" applyFill="1" applyBorder="1"/>
    <xf numFmtId="0" fontId="2" fillId="8" borderId="102" xfId="0" applyFont="1" applyFill="1" applyBorder="1" applyAlignment="1">
      <alignment horizontal="center" wrapText="1"/>
    </xf>
    <xf numFmtId="0" fontId="2" fillId="8" borderId="40" xfId="0" applyFont="1" applyFill="1" applyBorder="1" applyAlignment="1">
      <alignment horizontal="center" wrapText="1"/>
    </xf>
    <xf numFmtId="0" fontId="2" fillId="8" borderId="103" xfId="0" applyFont="1" applyFill="1" applyBorder="1" applyAlignment="1">
      <alignment horizontal="center" wrapText="1"/>
    </xf>
    <xf numFmtId="0" fontId="2" fillId="8" borderId="27" xfId="0" applyFont="1" applyFill="1" applyBorder="1" applyAlignment="1">
      <alignment horizontal="center" wrapText="1"/>
    </xf>
    <xf numFmtId="0" fontId="2" fillId="8" borderId="27" xfId="0" applyFont="1" applyFill="1" applyBorder="1" applyAlignment="1">
      <alignment wrapText="1"/>
    </xf>
    <xf numFmtId="0" fontId="2" fillId="0" borderId="0" xfId="0" applyFont="1" applyAlignment="1" applyProtection="1">
      <alignment vertical="center" wrapText="1"/>
      <protection locked="0"/>
    </xf>
    <xf numFmtId="0" fontId="3" fillId="7" borderId="29" xfId="0" applyFont="1" applyFill="1" applyBorder="1" applyAlignment="1">
      <alignment horizontal="center" vertical="center"/>
    </xf>
    <xf numFmtId="0" fontId="3" fillId="7" borderId="37" xfId="0" applyFont="1" applyFill="1" applyBorder="1" applyAlignment="1">
      <alignment horizontal="center" vertical="center"/>
    </xf>
    <xf numFmtId="0" fontId="0" fillId="0" borderId="38" xfId="0" applyBorder="1" applyAlignment="1">
      <alignment vertical="center"/>
    </xf>
    <xf numFmtId="0" fontId="0" fillId="7" borderId="34" xfId="0" applyFill="1" applyBorder="1" applyAlignment="1">
      <alignment vertical="center" wrapText="1"/>
    </xf>
    <xf numFmtId="0" fontId="0" fillId="0" borderId="29" xfId="0" applyBorder="1" applyAlignment="1">
      <alignment horizontal="center" vertical="center" wrapText="1"/>
    </xf>
    <xf numFmtId="0" fontId="0" fillId="0" borderId="38" xfId="0" applyBorder="1" applyAlignment="1">
      <alignment horizontal="center" vertical="center"/>
    </xf>
    <xf numFmtId="0" fontId="2" fillId="7" borderId="36" xfId="0" applyFont="1" applyFill="1" applyBorder="1" applyAlignment="1">
      <alignment horizontal="center" vertical="center" wrapText="1"/>
    </xf>
    <xf numFmtId="0" fontId="0" fillId="7" borderId="2" xfId="0" applyFill="1" applyBorder="1" applyAlignment="1">
      <alignment vertical="center" wrapText="1"/>
    </xf>
    <xf numFmtId="0" fontId="16" fillId="27" borderId="31" xfId="0" applyFont="1" applyFill="1" applyBorder="1" applyAlignment="1">
      <alignment horizontal="center" vertical="center" wrapText="1"/>
    </xf>
    <xf numFmtId="0" fontId="16" fillId="27" borderId="50" xfId="0" applyFont="1" applyFill="1" applyBorder="1" applyAlignment="1">
      <alignment horizontal="center" vertical="center"/>
    </xf>
    <xf numFmtId="0" fontId="2" fillId="8" borderId="34" xfId="0" applyFont="1" applyFill="1" applyBorder="1" applyAlignment="1">
      <alignment horizontal="center" vertical="center" wrapText="1"/>
    </xf>
    <xf numFmtId="0" fontId="2" fillId="8" borderId="53" xfId="0" applyFont="1" applyFill="1" applyBorder="1" applyAlignment="1">
      <alignment horizontal="center" vertical="center" wrapText="1"/>
    </xf>
    <xf numFmtId="0" fontId="2" fillId="8" borderId="33" xfId="0" applyFont="1" applyFill="1" applyBorder="1" applyAlignment="1">
      <alignment horizontal="center" vertical="center" wrapText="1"/>
    </xf>
    <xf numFmtId="0" fontId="2" fillId="8" borderId="54" xfId="0" applyFont="1" applyFill="1" applyBorder="1" applyAlignment="1">
      <alignment horizontal="center" vertical="center" wrapText="1"/>
    </xf>
    <xf numFmtId="0" fontId="2" fillId="21" borderId="32" xfId="0" applyFont="1" applyFill="1" applyBorder="1" applyAlignment="1">
      <alignment horizontal="center" vertical="center" wrapText="1"/>
    </xf>
    <xf numFmtId="0" fontId="2" fillId="21" borderId="55" xfId="0" applyFont="1" applyFill="1" applyBorder="1" applyAlignment="1">
      <alignment horizontal="center" vertical="center" wrapText="1"/>
    </xf>
    <xf numFmtId="0" fontId="2" fillId="22" borderId="53" xfId="0" applyFont="1" applyFill="1" applyBorder="1" applyAlignment="1">
      <alignment horizontal="center" vertical="center" wrapText="1"/>
    </xf>
    <xf numFmtId="0" fontId="2" fillId="22" borderId="55" xfId="0" applyFont="1" applyFill="1" applyBorder="1" applyAlignment="1">
      <alignment horizontal="center" vertical="center" wrapText="1"/>
    </xf>
    <xf numFmtId="0" fontId="2" fillId="13" borderId="53" xfId="0" applyFont="1" applyFill="1" applyBorder="1" applyAlignment="1">
      <alignment horizontal="center" vertical="center" wrapText="1"/>
    </xf>
    <xf numFmtId="0" fontId="2" fillId="13" borderId="55" xfId="0" applyFont="1" applyFill="1" applyBorder="1" applyAlignment="1">
      <alignment horizontal="center" vertical="center" wrapText="1"/>
    </xf>
    <xf numFmtId="0" fontId="2" fillId="23" borderId="53" xfId="0" applyFont="1" applyFill="1" applyBorder="1" applyAlignment="1">
      <alignment horizontal="center" vertical="center" wrapText="1"/>
    </xf>
    <xf numFmtId="0" fontId="2" fillId="23" borderId="55" xfId="0" applyFont="1" applyFill="1" applyBorder="1" applyAlignment="1">
      <alignment horizontal="center" vertical="center" wrapText="1"/>
    </xf>
    <xf numFmtId="0" fontId="2" fillId="24" borderId="56" xfId="0" applyFont="1" applyFill="1" applyBorder="1" applyAlignment="1">
      <alignment horizontal="center" vertical="center" wrapText="1"/>
    </xf>
    <xf numFmtId="0" fontId="2" fillId="24" borderId="57" xfId="0" applyFont="1" applyFill="1" applyBorder="1" applyAlignment="1">
      <alignment horizontal="center" vertical="center"/>
    </xf>
    <xf numFmtId="0" fontId="2" fillId="25" borderId="56" xfId="0" applyFont="1" applyFill="1" applyBorder="1" applyAlignment="1">
      <alignment horizontal="center" vertical="center" wrapText="1"/>
    </xf>
    <xf numFmtId="0" fontId="2" fillId="25" borderId="57" xfId="0" applyFont="1" applyFill="1" applyBorder="1" applyAlignment="1">
      <alignment horizontal="center" vertical="center" wrapText="1"/>
    </xf>
    <xf numFmtId="0" fontId="2" fillId="14" borderId="56" xfId="0" applyFont="1" applyFill="1" applyBorder="1" applyAlignment="1">
      <alignment horizontal="center" vertical="center" wrapText="1"/>
    </xf>
    <xf numFmtId="0" fontId="2" fillId="14" borderId="58" xfId="0" applyFont="1" applyFill="1" applyBorder="1" applyAlignment="1">
      <alignment horizontal="center" vertical="center" wrapText="1"/>
    </xf>
    <xf numFmtId="0" fontId="2" fillId="26" borderId="56" xfId="0" applyFont="1" applyFill="1" applyBorder="1" applyAlignment="1">
      <alignment horizontal="center" vertical="center" wrapText="1"/>
    </xf>
    <xf numFmtId="0" fontId="2" fillId="26" borderId="59" xfId="0" applyFont="1" applyFill="1" applyBorder="1" applyAlignment="1">
      <alignment horizontal="center" vertical="center" wrapText="1"/>
    </xf>
    <xf numFmtId="0" fontId="16" fillId="27" borderId="60" xfId="0" applyFont="1" applyFill="1" applyBorder="1" applyAlignment="1">
      <alignment horizontal="center" vertical="center"/>
    </xf>
    <xf numFmtId="0" fontId="2" fillId="8" borderId="3" xfId="0" applyFont="1" applyFill="1" applyBorder="1" applyAlignment="1">
      <alignment horizontal="center" vertical="center" wrapText="1"/>
    </xf>
    <xf numFmtId="3" fontId="2" fillId="8" borderId="61" xfId="0" applyNumberFormat="1" applyFont="1" applyFill="1" applyBorder="1" applyAlignment="1">
      <alignment horizontal="center" vertical="center" wrapText="1"/>
    </xf>
    <xf numFmtId="9" fontId="18" fillId="8" borderId="36" xfId="0" applyNumberFormat="1" applyFont="1" applyFill="1" applyBorder="1" applyAlignment="1">
      <alignment horizontal="center" vertical="center" wrapText="1"/>
    </xf>
    <xf numFmtId="3" fontId="18" fillId="27" borderId="3" xfId="0" applyNumberFormat="1" applyFont="1" applyFill="1" applyBorder="1" applyAlignment="1">
      <alignment horizontal="center" vertical="center" wrapText="1"/>
    </xf>
    <xf numFmtId="3" fontId="16" fillId="27" borderId="3" xfId="0" applyNumberFormat="1" applyFont="1" applyFill="1" applyBorder="1" applyAlignment="1">
      <alignment horizontal="center" vertical="center" wrapText="1"/>
    </xf>
    <xf numFmtId="0" fontId="2" fillId="8" borderId="61" xfId="0" applyFont="1" applyFill="1" applyBorder="1" applyAlignment="1">
      <alignment horizontal="center" vertical="center" wrapText="1"/>
    </xf>
    <xf numFmtId="0" fontId="2" fillId="8" borderId="70" xfId="0" applyFont="1" applyFill="1" applyBorder="1" applyAlignment="1">
      <alignment horizontal="center" vertical="center" wrapText="1"/>
    </xf>
    <xf numFmtId="3" fontId="2" fillId="8" borderId="71" xfId="0" applyNumberFormat="1" applyFont="1" applyFill="1" applyBorder="1" applyAlignment="1">
      <alignment horizontal="center" vertical="center" wrapText="1"/>
    </xf>
    <xf numFmtId="0" fontId="2" fillId="8" borderId="71" xfId="0" applyFont="1" applyFill="1" applyBorder="1" applyAlignment="1">
      <alignment horizontal="center" vertical="center" wrapText="1"/>
    </xf>
    <xf numFmtId="9" fontId="18" fillId="8" borderId="71" xfId="0" applyNumberFormat="1" applyFont="1" applyFill="1" applyBorder="1" applyAlignment="1">
      <alignment horizontal="center" vertical="center" wrapText="1"/>
    </xf>
    <xf numFmtId="3" fontId="2" fillId="8" borderId="72" xfId="0" applyNumberFormat="1" applyFont="1" applyFill="1" applyBorder="1" applyAlignment="1">
      <alignment horizontal="center" vertical="center" wrapText="1"/>
    </xf>
    <xf numFmtId="3" fontId="18" fillId="27" borderId="70" xfId="0" applyNumberFormat="1" applyFont="1" applyFill="1" applyBorder="1" applyAlignment="1">
      <alignment horizontal="center" vertical="center" wrapText="1"/>
    </xf>
    <xf numFmtId="3" fontId="16" fillId="27" borderId="70" xfId="0" applyNumberFormat="1" applyFont="1" applyFill="1" applyBorder="1" applyAlignment="1">
      <alignment horizontal="center" vertical="center" wrapText="1"/>
    </xf>
    <xf numFmtId="3" fontId="2" fillId="8" borderId="56" xfId="0" applyNumberFormat="1" applyFont="1" applyFill="1" applyBorder="1" applyAlignment="1">
      <alignment horizontal="center" vertical="center"/>
    </xf>
    <xf numFmtId="3" fontId="16" fillId="2" borderId="38" xfId="0" applyNumberFormat="1" applyFont="1" applyFill="1" applyBorder="1" applyAlignment="1">
      <alignment horizontal="center" vertical="center" wrapText="1"/>
    </xf>
    <xf numFmtId="3" fontId="13" fillId="2" borderId="39" xfId="0" applyNumberFormat="1" applyFont="1" applyFill="1" applyBorder="1" applyAlignment="1">
      <alignment horizontal="center" vertical="center"/>
    </xf>
    <xf numFmtId="0" fontId="2" fillId="8" borderId="4" xfId="0" applyFont="1" applyFill="1" applyBorder="1" applyAlignment="1">
      <alignment horizontal="center" vertical="center"/>
    </xf>
    <xf numFmtId="9" fontId="16" fillId="8" borderId="61" xfId="0" applyNumberFormat="1" applyFont="1" applyFill="1" applyBorder="1" applyAlignment="1">
      <alignment horizontal="center" vertical="center" wrapText="1"/>
    </xf>
    <xf numFmtId="3" fontId="0" fillId="2" borderId="39" xfId="0" applyNumberFormat="1" applyFill="1" applyBorder="1" applyAlignment="1">
      <alignment horizontal="center" vertical="center"/>
    </xf>
    <xf numFmtId="0" fontId="2" fillId="8" borderId="61" xfId="0" applyFont="1" applyFill="1" applyBorder="1" applyAlignment="1">
      <alignment horizontal="center" vertical="center"/>
    </xf>
    <xf numFmtId="3" fontId="16" fillId="8" borderId="61" xfId="0" applyNumberFormat="1" applyFont="1" applyFill="1" applyBorder="1" applyAlignment="1">
      <alignment horizontal="center" vertical="center" wrapText="1"/>
    </xf>
    <xf numFmtId="0" fontId="2" fillId="8" borderId="36" xfId="0" applyFont="1" applyFill="1" applyBorder="1" applyAlignment="1">
      <alignment horizontal="center" vertical="center" wrapText="1"/>
    </xf>
    <xf numFmtId="3" fontId="2" fillId="8" borderId="36" xfId="0" applyNumberFormat="1" applyFont="1" applyFill="1" applyBorder="1" applyAlignment="1">
      <alignment horizontal="center" vertical="center" wrapText="1"/>
    </xf>
    <xf numFmtId="3" fontId="2" fillId="8" borderId="84" xfId="0" applyNumberFormat="1" applyFont="1" applyFill="1" applyBorder="1" applyAlignment="1">
      <alignment horizontal="center" vertical="center"/>
    </xf>
    <xf numFmtId="3" fontId="2" fillId="8" borderId="85" xfId="0" applyNumberFormat="1" applyFont="1" applyFill="1" applyBorder="1" applyAlignment="1">
      <alignment horizontal="center" vertical="center"/>
    </xf>
    <xf numFmtId="3" fontId="2" fillId="8" borderId="86" xfId="0" applyNumberFormat="1" applyFont="1" applyFill="1" applyBorder="1" applyAlignment="1">
      <alignment horizontal="center" vertical="center"/>
    </xf>
    <xf numFmtId="3" fontId="2" fillId="8" borderId="87" xfId="0" applyNumberFormat="1" applyFont="1" applyFill="1" applyBorder="1" applyAlignment="1">
      <alignment horizontal="center" vertical="center"/>
    </xf>
    <xf numFmtId="3" fontId="2" fillId="8" borderId="88" xfId="0" applyNumberFormat="1" applyFont="1" applyFill="1" applyBorder="1" applyAlignment="1">
      <alignment horizontal="center" vertical="center"/>
    </xf>
    <xf numFmtId="0" fontId="2" fillId="17" borderId="0" xfId="0" applyFont="1" applyFill="1" applyAlignment="1">
      <alignment horizontal="center" vertical="center" wrapText="1"/>
    </xf>
    <xf numFmtId="3" fontId="18" fillId="2" borderId="23" xfId="0" applyNumberFormat="1" applyFont="1" applyFill="1" applyBorder="1" applyAlignment="1">
      <alignment horizontal="center" vertical="center" wrapText="1"/>
    </xf>
    <xf numFmtId="3" fontId="18" fillId="2" borderId="25" xfId="0" applyNumberFormat="1" applyFont="1" applyFill="1" applyBorder="1" applyAlignment="1">
      <alignment horizontal="center" vertical="center" wrapText="1"/>
    </xf>
    <xf numFmtId="3" fontId="18" fillId="2" borderId="38" xfId="0" applyNumberFormat="1" applyFont="1" applyFill="1" applyBorder="1" applyAlignment="1">
      <alignment horizontal="center" vertical="center" wrapText="1"/>
    </xf>
    <xf numFmtId="0" fontId="12" fillId="5" borderId="37" xfId="0" applyFont="1" applyFill="1" applyBorder="1" applyAlignment="1">
      <alignment horizontal="center" vertical="center"/>
    </xf>
    <xf numFmtId="0" fontId="2" fillId="4" borderId="61" xfId="0" applyFont="1" applyFill="1" applyBorder="1" applyAlignment="1">
      <alignment horizontal="center" vertical="center" wrapText="1"/>
    </xf>
    <xf numFmtId="0" fontId="4" fillId="23" borderId="61" xfId="0" applyFont="1" applyFill="1" applyBorder="1" applyAlignment="1">
      <alignment horizontal="center" vertical="center"/>
    </xf>
    <xf numFmtId="0" fontId="4" fillId="7" borderId="61" xfId="0" applyFont="1" applyFill="1" applyBorder="1" applyAlignment="1">
      <alignment horizontal="center" vertical="center"/>
    </xf>
    <xf numFmtId="1" fontId="20" fillId="23" borderId="29" xfId="0" applyNumberFormat="1" applyFont="1" applyFill="1" applyBorder="1" applyAlignment="1">
      <alignment horizontal="center" vertical="center"/>
    </xf>
    <xf numFmtId="1" fontId="3" fillId="4" borderId="29" xfId="0" applyNumberFormat="1" applyFont="1" applyFill="1" applyBorder="1" applyAlignment="1">
      <alignment horizontal="center" vertical="center"/>
    </xf>
    <xf numFmtId="9" fontId="28" fillId="0" borderId="36" xfId="0" applyNumberFormat="1" applyFont="1" applyBorder="1" applyAlignment="1">
      <alignment horizontal="center" vertical="center"/>
    </xf>
    <xf numFmtId="1" fontId="0" fillId="0" borderId="38" xfId="0" applyNumberFormat="1" applyBorder="1" applyAlignment="1">
      <alignment horizontal="center" vertical="center"/>
    </xf>
    <xf numFmtId="1" fontId="0" fillId="0" borderId="2" xfId="0" applyNumberFormat="1" applyBorder="1" applyAlignment="1">
      <alignment horizontal="center" vertical="center"/>
    </xf>
    <xf numFmtId="1" fontId="0" fillId="7" borderId="38" xfId="0" applyNumberFormat="1" applyFill="1" applyBorder="1" applyAlignment="1">
      <alignment horizontal="center" vertical="center"/>
    </xf>
    <xf numFmtId="1" fontId="0" fillId="7" borderId="2" xfId="0" applyNumberFormat="1" applyFill="1" applyBorder="1" applyAlignment="1">
      <alignment horizontal="center" vertical="center"/>
    </xf>
    <xf numFmtId="1" fontId="3" fillId="23" borderId="37" xfId="0" applyNumberFormat="1" applyFont="1" applyFill="1" applyBorder="1" applyAlignment="1">
      <alignment horizontal="center" vertical="center"/>
    </xf>
    <xf numFmtId="1" fontId="3" fillId="7" borderId="7" xfId="0" applyNumberFormat="1" applyFont="1" applyFill="1" applyBorder="1" applyAlignment="1">
      <alignment horizontal="center" vertical="center"/>
    </xf>
    <xf numFmtId="1" fontId="3" fillId="4" borderId="61" xfId="0" applyNumberFormat="1" applyFont="1" applyFill="1" applyBorder="1" applyAlignment="1">
      <alignment horizontal="center" vertical="center"/>
    </xf>
    <xf numFmtId="9" fontId="28" fillId="7" borderId="61" xfId="0" applyNumberFormat="1" applyFont="1" applyFill="1" applyBorder="1" applyAlignment="1">
      <alignment horizontal="center" vertical="center"/>
    </xf>
    <xf numFmtId="0" fontId="3" fillId="8" borderId="61" xfId="0" applyFont="1" applyFill="1" applyBorder="1" applyAlignment="1">
      <alignment horizontal="center" vertical="center" wrapText="1"/>
    </xf>
    <xf numFmtId="1" fontId="2" fillId="28" borderId="61" xfId="0" applyNumberFormat="1" applyFont="1" applyFill="1" applyBorder="1" applyAlignment="1">
      <alignment horizontal="center" vertical="center"/>
    </xf>
    <xf numFmtId="9" fontId="3" fillId="28" borderId="61" xfId="0" applyNumberFormat="1" applyFont="1" applyFill="1" applyBorder="1" applyAlignment="1">
      <alignment horizontal="center" vertical="center"/>
    </xf>
    <xf numFmtId="9" fontId="2" fillId="28" borderId="61" xfId="0" applyNumberFormat="1" applyFont="1" applyFill="1" applyBorder="1" applyAlignment="1">
      <alignment horizontal="center" vertical="center"/>
    </xf>
    <xf numFmtId="3" fontId="2" fillId="7" borderId="37" xfId="0" applyNumberFormat="1" applyFont="1" applyFill="1" applyBorder="1" applyAlignment="1">
      <alignment horizontal="center" vertical="center" wrapText="1"/>
    </xf>
    <xf numFmtId="3" fontId="2" fillId="7" borderId="61" xfId="0" applyNumberFormat="1" applyFont="1" applyFill="1" applyBorder="1" applyAlignment="1">
      <alignment horizontal="center" vertical="center" wrapText="1"/>
    </xf>
    <xf numFmtId="3" fontId="2" fillId="8" borderId="12" xfId="0" applyNumberFormat="1" applyFont="1" applyFill="1" applyBorder="1" applyAlignment="1">
      <alignment horizontal="center" vertical="center" wrapText="1"/>
    </xf>
    <xf numFmtId="1" fontId="2" fillId="23" borderId="118" xfId="0" applyNumberFormat="1" applyFont="1" applyFill="1" applyBorder="1" applyAlignment="1">
      <alignment horizontal="center" vertical="center"/>
    </xf>
    <xf numFmtId="1" fontId="2" fillId="23" borderId="78" xfId="0" applyNumberFormat="1" applyFont="1" applyFill="1" applyBorder="1" applyAlignment="1">
      <alignment horizontal="center" vertical="center"/>
    </xf>
    <xf numFmtId="0" fontId="2" fillId="26" borderId="53" xfId="0" applyFont="1" applyFill="1" applyBorder="1" applyAlignment="1">
      <alignment horizontal="center" vertical="center" wrapText="1"/>
    </xf>
    <xf numFmtId="0" fontId="2" fillId="26" borderId="55" xfId="0" applyFont="1" applyFill="1" applyBorder="1" applyAlignment="1">
      <alignment horizontal="center" vertical="center" wrapText="1"/>
    </xf>
    <xf numFmtId="0" fontId="2" fillId="6" borderId="53" xfId="0" applyFont="1" applyFill="1" applyBorder="1" applyAlignment="1">
      <alignment horizontal="center" vertical="center" wrapText="1"/>
    </xf>
    <xf numFmtId="0" fontId="2" fillId="6" borderId="55" xfId="0" applyFont="1" applyFill="1" applyBorder="1" applyAlignment="1">
      <alignment horizontal="center" vertical="center" wrapText="1"/>
    </xf>
    <xf numFmtId="0" fontId="2" fillId="29" borderId="53" xfId="0" applyFont="1" applyFill="1" applyBorder="1" applyAlignment="1">
      <alignment horizontal="center" vertical="center" wrapText="1"/>
    </xf>
    <xf numFmtId="0" fontId="2" fillId="29" borderId="55" xfId="0" applyFont="1" applyFill="1" applyBorder="1" applyAlignment="1">
      <alignment horizontal="center" vertical="center" wrapText="1"/>
    </xf>
    <xf numFmtId="0" fontId="2" fillId="25" borderId="53" xfId="0" applyFont="1" applyFill="1" applyBorder="1" applyAlignment="1">
      <alignment horizontal="center" vertical="center" wrapText="1"/>
    </xf>
    <xf numFmtId="0" fontId="2" fillId="25" borderId="55" xfId="0" applyFont="1" applyFill="1" applyBorder="1" applyAlignment="1">
      <alignment horizontal="center" vertical="center" wrapText="1"/>
    </xf>
    <xf numFmtId="0" fontId="2" fillId="30" borderId="53" xfId="0" applyFont="1" applyFill="1" applyBorder="1" applyAlignment="1">
      <alignment horizontal="center" vertical="center" wrapText="1"/>
    </xf>
    <xf numFmtId="0" fontId="2" fillId="30" borderId="55" xfId="0" applyFont="1" applyFill="1" applyBorder="1" applyAlignment="1">
      <alignment horizontal="center" vertical="center" wrapText="1"/>
    </xf>
    <xf numFmtId="0" fontId="2" fillId="31" borderId="53" xfId="0" applyFont="1" applyFill="1" applyBorder="1" applyAlignment="1">
      <alignment horizontal="center" vertical="center" wrapText="1"/>
    </xf>
    <xf numFmtId="0" fontId="2" fillId="31" borderId="55" xfId="0" applyFont="1" applyFill="1" applyBorder="1" applyAlignment="1">
      <alignment horizontal="center" vertical="center" wrapText="1"/>
    </xf>
    <xf numFmtId="0" fontId="2" fillId="27" borderId="53" xfId="0" applyFont="1" applyFill="1" applyBorder="1" applyAlignment="1">
      <alignment horizontal="center" vertical="center" wrapText="1"/>
    </xf>
    <xf numFmtId="0" fontId="2" fillId="27" borderId="55" xfId="0" applyFont="1" applyFill="1" applyBorder="1" applyAlignment="1">
      <alignment horizontal="center" vertical="center" wrapText="1"/>
    </xf>
    <xf numFmtId="0" fontId="2" fillId="4" borderId="55" xfId="0" applyFont="1" applyFill="1" applyBorder="1" applyAlignment="1">
      <alignment horizontal="center" vertical="center" wrapText="1"/>
    </xf>
    <xf numFmtId="0" fontId="2" fillId="23" borderId="54" xfId="0" applyFont="1" applyFill="1" applyBorder="1" applyAlignment="1">
      <alignment horizontal="center" vertical="center" wrapText="1"/>
    </xf>
    <xf numFmtId="0" fontId="2" fillId="31" borderId="64" xfId="0" applyFont="1" applyFill="1" applyBorder="1" applyAlignment="1">
      <alignment horizontal="center" vertical="center" wrapText="1"/>
    </xf>
    <xf numFmtId="0" fontId="2" fillId="31" borderId="91" xfId="0" applyFont="1" applyFill="1" applyBorder="1" applyAlignment="1">
      <alignment horizontal="center" vertical="center" wrapText="1"/>
    </xf>
    <xf numFmtId="3" fontId="2" fillId="4" borderId="64" xfId="0" applyNumberFormat="1" applyFont="1" applyFill="1" applyBorder="1" applyAlignment="1">
      <alignment horizontal="center" vertical="center"/>
    </xf>
    <xf numFmtId="3" fontId="2" fillId="4" borderId="65" xfId="0" applyNumberFormat="1" applyFont="1" applyFill="1" applyBorder="1" applyAlignment="1">
      <alignment horizontal="center" vertical="center"/>
    </xf>
    <xf numFmtId="9" fontId="2" fillId="23" borderId="45" xfId="0" applyNumberFormat="1" applyFont="1" applyFill="1" applyBorder="1" applyAlignment="1">
      <alignment horizontal="center" vertical="center"/>
    </xf>
    <xf numFmtId="9" fontId="2" fillId="23" borderId="77" xfId="0" applyNumberFormat="1" applyFont="1" applyFill="1" applyBorder="1" applyAlignment="1">
      <alignment horizontal="center" vertical="center"/>
    </xf>
    <xf numFmtId="0" fontId="2" fillId="31" borderId="51" xfId="0" applyFont="1" applyFill="1" applyBorder="1" applyAlignment="1">
      <alignment horizontal="center" vertical="center" wrapText="1"/>
    </xf>
    <xf numFmtId="0" fontId="2" fillId="31" borderId="52" xfId="0" applyFont="1" applyFill="1" applyBorder="1" applyAlignment="1">
      <alignment horizontal="center" vertical="center" wrapText="1"/>
    </xf>
    <xf numFmtId="3" fontId="2" fillId="4" borderId="51" xfId="0" applyNumberFormat="1" applyFont="1" applyFill="1" applyBorder="1" applyAlignment="1">
      <alignment horizontal="center" vertical="center"/>
    </xf>
    <xf numFmtId="3" fontId="2" fillId="4" borderId="52" xfId="0" applyNumberFormat="1" applyFont="1" applyFill="1" applyBorder="1" applyAlignment="1">
      <alignment horizontal="center" vertical="center"/>
    </xf>
    <xf numFmtId="0" fontId="2" fillId="31" borderId="32" xfId="0" applyFont="1" applyFill="1" applyBorder="1" applyAlignment="1">
      <alignment horizontal="center" vertical="center" wrapText="1"/>
    </xf>
    <xf numFmtId="3" fontId="2" fillId="4" borderId="18" xfId="0" applyNumberFormat="1" applyFont="1" applyFill="1" applyBorder="1" applyAlignment="1">
      <alignment horizontal="center" vertical="center"/>
    </xf>
    <xf numFmtId="3" fontId="2" fillId="4" borderId="20" xfId="0" applyNumberFormat="1" applyFont="1" applyFill="1" applyBorder="1" applyAlignment="1">
      <alignment horizontal="center" vertical="center"/>
    </xf>
    <xf numFmtId="3" fontId="2" fillId="23" borderId="24" xfId="0" applyNumberFormat="1" applyFont="1" applyFill="1" applyBorder="1" applyAlignment="1">
      <alignment horizontal="center" vertical="center"/>
    </xf>
    <xf numFmtId="3" fontId="2" fillId="23" borderId="23" xfId="0" applyNumberFormat="1" applyFont="1" applyFill="1" applyBorder="1" applyAlignment="1">
      <alignment horizontal="center" vertical="center"/>
    </xf>
    <xf numFmtId="3" fontId="2" fillId="23" borderId="38" xfId="0" applyNumberFormat="1" applyFont="1" applyFill="1" applyBorder="1" applyAlignment="1">
      <alignment horizontal="center" vertical="center"/>
    </xf>
    <xf numFmtId="9" fontId="2" fillId="23" borderId="23" xfId="0" applyNumberFormat="1" applyFont="1" applyFill="1" applyBorder="1" applyAlignment="1">
      <alignment horizontal="center" vertical="center"/>
    </xf>
    <xf numFmtId="9" fontId="2" fillId="23" borderId="61" xfId="0" applyNumberFormat="1" applyFont="1" applyFill="1" applyBorder="1" applyAlignment="1">
      <alignment horizontal="center" vertical="center"/>
    </xf>
    <xf numFmtId="0" fontId="2" fillId="23" borderId="61" xfId="0" applyFont="1" applyFill="1" applyBorder="1" applyAlignment="1">
      <alignment horizontal="center" vertical="center" wrapText="1"/>
    </xf>
    <xf numFmtId="0" fontId="2" fillId="30" borderId="54" xfId="0" applyFont="1" applyFill="1" applyBorder="1" applyAlignment="1">
      <alignment horizontal="center" vertical="center" wrapText="1"/>
    </xf>
    <xf numFmtId="3" fontId="0" fillId="4" borderId="64" xfId="0" applyNumberFormat="1" applyFill="1" applyBorder="1" applyAlignment="1">
      <alignment horizontal="center" vertical="center"/>
    </xf>
    <xf numFmtId="3" fontId="0" fillId="4" borderId="65" xfId="0" applyNumberFormat="1" applyFill="1" applyBorder="1" applyAlignment="1">
      <alignment horizontal="center" vertical="center"/>
    </xf>
    <xf numFmtId="9" fontId="0" fillId="30" borderId="45" xfId="0" applyNumberFormat="1" applyFill="1" applyBorder="1" applyAlignment="1">
      <alignment horizontal="center" vertical="center"/>
    </xf>
    <xf numFmtId="9" fontId="0" fillId="30" borderId="77" xfId="0" applyNumberFormat="1" applyFill="1" applyBorder="1" applyAlignment="1">
      <alignment horizontal="center" vertical="center"/>
    </xf>
    <xf numFmtId="3" fontId="0" fillId="4" borderId="51" xfId="0" applyNumberFormat="1" applyFill="1" applyBorder="1" applyAlignment="1">
      <alignment horizontal="center" vertical="center"/>
    </xf>
    <xf numFmtId="3" fontId="0" fillId="4" borderId="52" xfId="0" applyNumberFormat="1" applyFill="1" applyBorder="1" applyAlignment="1">
      <alignment horizontal="center" vertical="center"/>
    </xf>
    <xf numFmtId="3" fontId="0" fillId="4" borderId="18" xfId="0" applyNumberFormat="1" applyFill="1" applyBorder="1" applyAlignment="1">
      <alignment horizontal="center" vertical="center"/>
    </xf>
    <xf numFmtId="3" fontId="0" fillId="4" borderId="20" xfId="0" applyNumberFormat="1" applyFill="1" applyBorder="1" applyAlignment="1">
      <alignment horizontal="center" vertical="center"/>
    </xf>
    <xf numFmtId="9" fontId="2" fillId="30" borderId="23" xfId="0" applyNumberFormat="1" applyFont="1" applyFill="1" applyBorder="1" applyAlignment="1">
      <alignment horizontal="center" vertical="center"/>
    </xf>
    <xf numFmtId="9" fontId="2" fillId="30" borderId="61" xfId="0" applyNumberFormat="1" applyFont="1" applyFill="1" applyBorder="1" applyAlignment="1">
      <alignment horizontal="center" vertical="center"/>
    </xf>
    <xf numFmtId="3" fontId="16" fillId="4" borderId="23" xfId="0" applyNumberFormat="1" applyFont="1" applyFill="1" applyBorder="1" applyAlignment="1">
      <alignment horizontal="center" vertical="center"/>
    </xf>
    <xf numFmtId="3" fontId="16" fillId="4" borderId="24" xfId="0" applyNumberFormat="1" applyFont="1" applyFill="1" applyBorder="1" applyAlignment="1">
      <alignment horizontal="center" vertical="center"/>
    </xf>
    <xf numFmtId="9" fontId="16" fillId="14" borderId="3" xfId="0" applyNumberFormat="1" applyFont="1" applyFill="1" applyBorder="1" applyAlignment="1">
      <alignment horizontal="center" vertical="center" wrapText="1"/>
    </xf>
    <xf numFmtId="9" fontId="16" fillId="14" borderId="4" xfId="0" applyNumberFormat="1" applyFont="1" applyFill="1" applyBorder="1" applyAlignment="1">
      <alignment horizontal="center" vertical="center" wrapText="1"/>
    </xf>
    <xf numFmtId="9" fontId="16" fillId="14" borderId="61" xfId="0" applyNumberFormat="1" applyFont="1" applyFill="1" applyBorder="1" applyAlignment="1">
      <alignment horizontal="center" vertical="center" wrapText="1"/>
    </xf>
    <xf numFmtId="9" fontId="16" fillId="14" borderId="39" xfId="0" applyNumberFormat="1" applyFont="1" applyFill="1" applyBorder="1" applyAlignment="1">
      <alignment horizontal="center" vertical="center" wrapText="1"/>
    </xf>
    <xf numFmtId="9" fontId="16" fillId="6" borderId="3" xfId="0" applyNumberFormat="1" applyFont="1" applyFill="1" applyBorder="1" applyAlignment="1">
      <alignment horizontal="center" vertical="center" wrapText="1"/>
    </xf>
    <xf numFmtId="9" fontId="16" fillId="6" borderId="4" xfId="0" applyNumberFormat="1" applyFont="1" applyFill="1" applyBorder="1" applyAlignment="1">
      <alignment horizontal="center" vertical="center" wrapText="1"/>
    </xf>
    <xf numFmtId="9" fontId="16" fillId="6" borderId="61" xfId="0" applyNumberFormat="1" applyFont="1" applyFill="1" applyBorder="1" applyAlignment="1">
      <alignment horizontal="center" vertical="center" wrapText="1"/>
    </xf>
    <xf numFmtId="9" fontId="16" fillId="6" borderId="39" xfId="0" applyNumberFormat="1" applyFont="1" applyFill="1" applyBorder="1" applyAlignment="1">
      <alignment horizontal="center" vertical="center" wrapText="1"/>
    </xf>
    <xf numFmtId="0" fontId="2" fillId="14" borderId="64" xfId="0" applyFont="1" applyFill="1" applyBorder="1" applyAlignment="1">
      <alignment horizontal="center" vertical="center" wrapText="1"/>
    </xf>
    <xf numFmtId="0" fontId="2" fillId="14" borderId="91" xfId="0" applyFont="1" applyFill="1" applyBorder="1" applyAlignment="1">
      <alignment horizontal="center" vertical="center" wrapText="1"/>
    </xf>
    <xf numFmtId="0" fontId="2" fillId="14" borderId="51" xfId="0" applyFont="1" applyFill="1" applyBorder="1" applyAlignment="1">
      <alignment horizontal="center" vertical="center" wrapText="1"/>
    </xf>
    <xf numFmtId="0" fontId="2" fillId="14" borderId="52" xfId="0" applyFont="1" applyFill="1" applyBorder="1" applyAlignment="1">
      <alignment horizontal="center" vertical="center" wrapText="1"/>
    </xf>
    <xf numFmtId="0" fontId="2" fillId="14" borderId="53" xfId="0" applyFont="1" applyFill="1" applyBorder="1" applyAlignment="1">
      <alignment horizontal="center" vertical="center" wrapText="1"/>
    </xf>
    <xf numFmtId="0" fontId="2" fillId="14" borderId="32" xfId="0" applyFont="1" applyFill="1" applyBorder="1" applyAlignment="1">
      <alignment horizontal="center" vertical="center" wrapText="1"/>
    </xf>
    <xf numFmtId="3" fontId="2" fillId="6" borderId="64" xfId="0" applyNumberFormat="1" applyFont="1" applyFill="1" applyBorder="1" applyAlignment="1">
      <alignment horizontal="center" vertical="center" wrapText="1"/>
    </xf>
    <xf numFmtId="3" fontId="2" fillId="6" borderId="91" xfId="0" applyNumberFormat="1" applyFont="1" applyFill="1" applyBorder="1" applyAlignment="1">
      <alignment horizontal="center" vertical="center" wrapText="1"/>
    </xf>
    <xf numFmtId="3" fontId="2" fillId="6" borderId="51" xfId="0" applyNumberFormat="1" applyFont="1" applyFill="1" applyBorder="1" applyAlignment="1">
      <alignment horizontal="center" vertical="center" wrapText="1"/>
    </xf>
    <xf numFmtId="3" fontId="2" fillId="6" borderId="52" xfId="0" applyNumberFormat="1" applyFont="1" applyFill="1" applyBorder="1" applyAlignment="1">
      <alignment horizontal="center" vertical="center" wrapText="1"/>
    </xf>
    <xf numFmtId="3" fontId="2" fillId="6" borderId="53" xfId="0" applyNumberFormat="1" applyFont="1" applyFill="1" applyBorder="1" applyAlignment="1">
      <alignment horizontal="center" vertical="center" wrapText="1"/>
    </xf>
    <xf numFmtId="3" fontId="2" fillId="6" borderId="32" xfId="0" applyNumberFormat="1" applyFont="1" applyFill="1" applyBorder="1" applyAlignment="1">
      <alignment horizontal="center" vertical="center" wrapText="1"/>
    </xf>
    <xf numFmtId="0" fontId="8" fillId="0" borderId="0" xfId="0" applyFont="1" applyProtection="1">
      <protection locked="0"/>
    </xf>
    <xf numFmtId="0" fontId="8" fillId="0" borderId="95" xfId="0" applyFont="1" applyBorder="1" applyProtection="1">
      <protection locked="0"/>
    </xf>
    <xf numFmtId="0" fontId="0" fillId="7" borderId="0" xfId="0" applyFill="1" applyAlignment="1">
      <alignment vertical="center"/>
    </xf>
    <xf numFmtId="0" fontId="0" fillId="0" borderId="0" xfId="0" applyAlignment="1">
      <alignment vertical="center"/>
    </xf>
    <xf numFmtId="0" fontId="17" fillId="0" borderId="0" xfId="0" applyFont="1" applyAlignment="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16" fillId="7" borderId="31" xfId="0" applyFont="1" applyFill="1" applyBorder="1" applyAlignment="1">
      <alignment horizontal="center" vertical="center" wrapText="1"/>
    </xf>
    <xf numFmtId="0" fontId="16" fillId="7" borderId="3" xfId="0" applyFont="1" applyFill="1" applyBorder="1" applyAlignment="1">
      <alignment horizontal="center" vertical="center" wrapText="1"/>
    </xf>
    <xf numFmtId="0" fontId="2" fillId="7" borderId="0" xfId="0" applyFont="1" applyFill="1" applyAlignment="1">
      <alignment vertical="center"/>
    </xf>
    <xf numFmtId="0" fontId="2" fillId="0" borderId="0" xfId="0" applyFont="1" applyAlignment="1">
      <alignment vertical="center"/>
    </xf>
    <xf numFmtId="3" fontId="14" fillId="4" borderId="3" xfId="0" applyNumberFormat="1" applyFont="1" applyFill="1" applyBorder="1" applyAlignment="1">
      <alignment horizontal="center" vertical="center" wrapText="1"/>
    </xf>
    <xf numFmtId="3" fontId="0" fillId="7" borderId="23" xfId="0" applyNumberFormat="1" applyFill="1" applyBorder="1" applyAlignment="1">
      <alignment horizontal="center" vertical="center" wrapText="1"/>
    </xf>
    <xf numFmtId="3" fontId="0" fillId="7" borderId="23" xfId="0" applyNumberFormat="1" applyFill="1" applyBorder="1" applyAlignment="1">
      <alignment horizontal="center" vertical="center"/>
    </xf>
    <xf numFmtId="3" fontId="0" fillId="7" borderId="25" xfId="0" applyNumberFormat="1" applyFill="1" applyBorder="1" applyAlignment="1">
      <alignment horizontal="center" vertical="center"/>
    </xf>
    <xf numFmtId="3" fontId="0" fillId="7" borderId="63" xfId="0" applyNumberFormat="1" applyFill="1" applyBorder="1" applyAlignment="1">
      <alignment horizontal="center" vertical="center"/>
    </xf>
    <xf numFmtId="3" fontId="0" fillId="7" borderId="62" xfId="0" applyNumberFormat="1" applyFill="1" applyBorder="1" applyAlignment="1">
      <alignment horizontal="center" vertical="center"/>
    </xf>
    <xf numFmtId="3" fontId="0" fillId="7" borderId="24" xfId="0" applyNumberFormat="1" applyFill="1" applyBorder="1" applyAlignment="1">
      <alignment horizontal="center" vertical="center"/>
    </xf>
    <xf numFmtId="3" fontId="0" fillId="4" borderId="4" xfId="0" applyNumberFormat="1" applyFill="1" applyBorder="1" applyAlignment="1">
      <alignment horizontal="center" vertical="center"/>
    </xf>
    <xf numFmtId="3" fontId="0" fillId="7" borderId="24" xfId="0" applyNumberFormat="1" applyFill="1" applyBorder="1" applyAlignment="1">
      <alignment horizontal="center" vertical="center" wrapText="1"/>
    </xf>
    <xf numFmtId="3" fontId="2" fillId="7" borderId="23" xfId="0" applyNumberFormat="1" applyFont="1" applyFill="1" applyBorder="1" applyAlignment="1">
      <alignment horizontal="center" vertical="center" wrapText="1"/>
    </xf>
    <xf numFmtId="3" fontId="2" fillId="7" borderId="25" xfId="0" applyNumberFormat="1" applyFont="1" applyFill="1" applyBorder="1" applyAlignment="1">
      <alignment horizontal="center" vertical="center" wrapText="1"/>
    </xf>
    <xf numFmtId="3" fontId="2" fillId="7" borderId="63" xfId="0" applyNumberFormat="1" applyFont="1" applyFill="1" applyBorder="1" applyAlignment="1">
      <alignment horizontal="center" vertical="center" wrapText="1"/>
    </xf>
    <xf numFmtId="3" fontId="2" fillId="7" borderId="24" xfId="0" applyNumberFormat="1" applyFont="1" applyFill="1" applyBorder="1" applyAlignment="1">
      <alignment horizontal="center" vertical="center" wrapText="1"/>
    </xf>
    <xf numFmtId="0" fontId="0" fillId="16" borderId="0" xfId="0" applyFill="1" applyAlignment="1">
      <alignment vertical="center"/>
    </xf>
    <xf numFmtId="3" fontId="0" fillId="4" borderId="61" xfId="0" applyNumberFormat="1" applyFill="1" applyBorder="1" applyAlignment="1">
      <alignment horizontal="center" vertical="center"/>
    </xf>
    <xf numFmtId="3" fontId="0" fillId="7" borderId="80" xfId="0" applyNumberFormat="1" applyFill="1" applyBorder="1" applyAlignment="1">
      <alignment horizontal="center" vertical="center"/>
    </xf>
    <xf numFmtId="3" fontId="0" fillId="7" borderId="81" xfId="0" applyNumberFormat="1" applyFill="1" applyBorder="1" applyAlignment="1">
      <alignment horizontal="center" vertical="center"/>
    </xf>
    <xf numFmtId="0" fontId="0" fillId="7" borderId="0" xfId="0" applyFill="1" applyAlignment="1">
      <alignment horizontal="center" vertical="center"/>
    </xf>
    <xf numFmtId="3" fontId="0" fillId="4" borderId="45" xfId="0" applyNumberFormat="1" applyFill="1" applyBorder="1" applyAlignment="1">
      <alignment horizontal="center" vertical="center"/>
    </xf>
    <xf numFmtId="1" fontId="0" fillId="7" borderId="3" xfId="0" applyNumberFormat="1" applyFill="1" applyBorder="1" applyAlignment="1">
      <alignment horizontal="center" vertical="center"/>
    </xf>
    <xf numFmtId="1" fontId="0" fillId="7" borderId="34" xfId="0" applyNumberFormat="1" applyFill="1" applyBorder="1" applyAlignment="1">
      <alignment horizontal="center" vertical="center"/>
    </xf>
    <xf numFmtId="3" fontId="4" fillId="7" borderId="7" xfId="0" applyNumberFormat="1" applyFont="1" applyFill="1" applyBorder="1" applyAlignment="1">
      <alignment horizontal="center" vertical="center"/>
    </xf>
    <xf numFmtId="0" fontId="4" fillId="7" borderId="5" xfId="0" applyFont="1" applyFill="1" applyBorder="1" applyAlignment="1">
      <alignment horizontal="center" vertical="center"/>
    </xf>
    <xf numFmtId="0" fontId="0" fillId="0" borderId="0" xfId="0" applyAlignment="1" applyProtection="1">
      <alignment vertical="center"/>
      <protection locked="0"/>
    </xf>
    <xf numFmtId="0" fontId="0" fillId="0" borderId="0" xfId="0" applyAlignment="1" applyProtection="1">
      <alignment vertical="center" wrapText="1"/>
      <protection locked="0"/>
    </xf>
    <xf numFmtId="0" fontId="2" fillId="0" borderId="0" xfId="0" applyFont="1" applyAlignment="1">
      <alignment vertical="center" wrapText="1"/>
    </xf>
    <xf numFmtId="3" fontId="0" fillId="4" borderId="3" xfId="0" applyNumberFormat="1" applyFill="1" applyBorder="1" applyAlignment="1">
      <alignment horizontal="center" vertical="center" wrapText="1"/>
    </xf>
    <xf numFmtId="1" fontId="0" fillId="4" borderId="45" xfId="0" applyNumberFormat="1" applyFill="1" applyBorder="1" applyAlignment="1">
      <alignment horizontal="center" vertical="center"/>
    </xf>
    <xf numFmtId="1" fontId="0" fillId="4" borderId="51" xfId="0" applyNumberFormat="1" applyFill="1" applyBorder="1" applyAlignment="1">
      <alignment horizontal="center" vertical="center"/>
    </xf>
    <xf numFmtId="1" fontId="0" fillId="7" borderId="0" xfId="0" applyNumberFormat="1" applyFill="1" applyAlignment="1">
      <alignment horizontal="center" vertical="center"/>
    </xf>
    <xf numFmtId="0" fontId="18" fillId="0" borderId="0" xfId="0" applyFont="1"/>
    <xf numFmtId="3" fontId="0" fillId="7" borderId="45" xfId="0" applyNumberFormat="1" applyFill="1" applyBorder="1" applyAlignment="1">
      <alignment horizontal="center" vertical="center"/>
    </xf>
    <xf numFmtId="3" fontId="0" fillId="7" borderId="46" xfId="0" applyNumberFormat="1" applyFill="1" applyBorder="1" applyAlignment="1">
      <alignment horizontal="center" vertical="center"/>
    </xf>
    <xf numFmtId="3" fontId="16" fillId="4" borderId="45" xfId="0" applyNumberFormat="1" applyFont="1" applyFill="1" applyBorder="1" applyAlignment="1">
      <alignment horizontal="center" vertical="center"/>
    </xf>
    <xf numFmtId="3" fontId="0" fillId="7" borderId="51" xfId="0" applyNumberFormat="1" applyFill="1" applyBorder="1" applyAlignment="1">
      <alignment horizontal="center" vertical="center"/>
    </xf>
    <xf numFmtId="3" fontId="0" fillId="7" borderId="8" xfId="0" applyNumberFormat="1" applyFill="1" applyBorder="1" applyAlignment="1">
      <alignment horizontal="center" vertical="center"/>
    </xf>
    <xf numFmtId="3" fontId="0" fillId="7" borderId="56" xfId="0" applyNumberFormat="1" applyFill="1" applyBorder="1" applyAlignment="1">
      <alignment horizontal="center" vertical="center"/>
    </xf>
    <xf numFmtId="3" fontId="0" fillId="7" borderId="57" xfId="0" applyNumberFormat="1" applyFill="1" applyBorder="1" applyAlignment="1">
      <alignment horizontal="center" vertical="center"/>
    </xf>
    <xf numFmtId="9" fontId="2" fillId="7" borderId="1" xfId="0" applyNumberFormat="1" applyFont="1" applyFill="1" applyBorder="1" applyAlignment="1">
      <alignment horizontal="center" vertical="center"/>
    </xf>
    <xf numFmtId="9" fontId="2" fillId="7" borderId="2" xfId="0" applyNumberFormat="1" applyFont="1" applyFill="1" applyBorder="1" applyAlignment="1">
      <alignment horizontal="center" vertical="center"/>
    </xf>
    <xf numFmtId="3" fontId="16" fillId="4" borderId="47" xfId="0" applyNumberFormat="1" applyFont="1" applyFill="1" applyBorder="1" applyAlignment="1">
      <alignment horizontal="center" vertical="center"/>
    </xf>
    <xf numFmtId="3" fontId="16" fillId="4" borderId="51" xfId="0" applyNumberFormat="1" applyFont="1" applyFill="1" applyBorder="1" applyAlignment="1">
      <alignment horizontal="center" vertical="center"/>
    </xf>
    <xf numFmtId="3" fontId="16" fillId="4" borderId="52" xfId="0" applyNumberFormat="1" applyFont="1" applyFill="1" applyBorder="1" applyAlignment="1">
      <alignment horizontal="center" vertical="center"/>
    </xf>
    <xf numFmtId="3" fontId="16" fillId="4" borderId="56" xfId="0" applyNumberFormat="1" applyFont="1" applyFill="1" applyBorder="1" applyAlignment="1">
      <alignment horizontal="center" vertical="center"/>
    </xf>
    <xf numFmtId="3" fontId="16" fillId="4" borderId="59" xfId="0" applyNumberFormat="1" applyFont="1" applyFill="1" applyBorder="1" applyAlignment="1">
      <alignment horizontal="center" vertical="center"/>
    </xf>
    <xf numFmtId="0" fontId="2" fillId="0" borderId="61" xfId="0" applyFont="1" applyBorder="1" applyAlignment="1">
      <alignment horizontal="center" vertical="center"/>
    </xf>
    <xf numFmtId="3" fontId="0" fillId="14" borderId="61" xfId="0" applyNumberFormat="1" applyFill="1" applyBorder="1"/>
    <xf numFmtId="3" fontId="0" fillId="6" borderId="61" xfId="0" applyNumberFormat="1" applyFill="1" applyBorder="1"/>
    <xf numFmtId="0" fontId="21" fillId="0" borderId="0" xfId="0" applyFont="1"/>
    <xf numFmtId="0" fontId="0" fillId="7" borderId="3" xfId="0" applyFill="1" applyBorder="1" applyAlignment="1">
      <alignment horizontal="center" vertical="center" wrapText="1"/>
    </xf>
    <xf numFmtId="0" fontId="0" fillId="7" borderId="39" xfId="0" applyFill="1" applyBorder="1" applyAlignment="1">
      <alignment horizontal="center" vertical="center" wrapText="1"/>
    </xf>
    <xf numFmtId="46" fontId="0" fillId="7" borderId="61" xfId="0" applyNumberFormat="1" applyFill="1" applyBorder="1" applyAlignment="1">
      <alignment horizontal="center" vertical="center"/>
    </xf>
    <xf numFmtId="0" fontId="10" fillId="7" borderId="69" xfId="0" applyFont="1" applyFill="1" applyBorder="1" applyAlignment="1">
      <alignment horizontal="center" vertical="center"/>
    </xf>
    <xf numFmtId="0" fontId="0" fillId="7" borderId="35" xfId="0" applyFill="1" applyBorder="1" applyAlignment="1">
      <alignment horizontal="center" vertical="center"/>
    </xf>
    <xf numFmtId="0" fontId="0" fillId="7" borderId="4" xfId="0" applyFill="1" applyBorder="1" applyAlignment="1">
      <alignment horizontal="center" vertical="center"/>
    </xf>
    <xf numFmtId="0" fontId="2" fillId="7" borderId="61" xfId="0" applyFont="1" applyFill="1" applyBorder="1" applyAlignment="1">
      <alignment horizontal="center" vertical="center"/>
    </xf>
    <xf numFmtId="1" fontId="0" fillId="7" borderId="45" xfId="0" applyNumberFormat="1" applyFill="1" applyBorder="1" applyAlignment="1">
      <alignment horizontal="center" vertical="center"/>
    </xf>
    <xf numFmtId="0" fontId="4" fillId="7" borderId="7" xfId="0" applyFont="1" applyFill="1" applyBorder="1" applyAlignment="1">
      <alignment horizontal="center" vertical="center"/>
    </xf>
    <xf numFmtId="1" fontId="0" fillId="7" borderId="61" xfId="0" applyNumberFormat="1" applyFill="1" applyBorder="1" applyAlignment="1">
      <alignment horizontal="center" vertical="center"/>
    </xf>
    <xf numFmtId="1" fontId="2" fillId="7" borderId="61" xfId="0" applyNumberFormat="1" applyFont="1" applyFill="1" applyBorder="1" applyAlignment="1">
      <alignment horizontal="center" vertical="center"/>
    </xf>
    <xf numFmtId="1" fontId="0" fillId="4" borderId="61" xfId="0" applyNumberFormat="1" applyFill="1" applyBorder="1" applyAlignment="1">
      <alignment horizontal="center" vertical="center"/>
    </xf>
    <xf numFmtId="1" fontId="0" fillId="7" borderId="46" xfId="0" applyNumberFormat="1" applyFill="1" applyBorder="1" applyAlignment="1">
      <alignment horizontal="center" vertical="center"/>
    </xf>
    <xf numFmtId="1" fontId="0" fillId="7" borderId="47" xfId="0" applyNumberFormat="1" applyFill="1" applyBorder="1" applyAlignment="1">
      <alignment horizontal="center" vertical="center"/>
    </xf>
    <xf numFmtId="1" fontId="0" fillId="7" borderId="51" xfId="0" applyNumberFormat="1" applyFill="1" applyBorder="1" applyAlignment="1">
      <alignment horizontal="center" vertical="center"/>
    </xf>
    <xf numFmtId="1" fontId="0" fillId="7" borderId="8" xfId="0" applyNumberFormat="1" applyFill="1" applyBorder="1" applyAlignment="1">
      <alignment horizontal="center" vertical="center"/>
    </xf>
    <xf numFmtId="1" fontId="0" fillId="7" borderId="52" xfId="0" applyNumberFormat="1" applyFill="1" applyBorder="1" applyAlignment="1">
      <alignment horizontal="center" vertical="center"/>
    </xf>
    <xf numFmtId="1" fontId="0" fillId="7" borderId="56" xfId="0" applyNumberFormat="1" applyFill="1" applyBorder="1" applyAlignment="1">
      <alignment horizontal="center" vertical="center"/>
    </xf>
    <xf numFmtId="1" fontId="0" fillId="7" borderId="57" xfId="0" applyNumberFormat="1" applyFill="1" applyBorder="1" applyAlignment="1">
      <alignment horizontal="center" vertical="center"/>
    </xf>
    <xf numFmtId="1" fontId="0" fillId="7" borderId="59" xfId="0" applyNumberFormat="1" applyFill="1" applyBorder="1" applyAlignment="1">
      <alignment horizontal="center" vertical="center"/>
    </xf>
    <xf numFmtId="3" fontId="0" fillId="4" borderId="46" xfId="0" applyNumberFormat="1" applyFill="1" applyBorder="1" applyAlignment="1">
      <alignment horizontal="center" vertical="center"/>
    </xf>
    <xf numFmtId="3" fontId="2" fillId="7" borderId="45" xfId="0" applyNumberFormat="1" applyFont="1" applyFill="1" applyBorder="1" applyAlignment="1">
      <alignment horizontal="center" vertical="center"/>
    </xf>
    <xf numFmtId="3" fontId="2" fillId="7" borderId="46" xfId="0" applyNumberFormat="1" applyFont="1" applyFill="1" applyBorder="1" applyAlignment="1">
      <alignment horizontal="center" vertical="center"/>
    </xf>
    <xf numFmtId="3" fontId="0" fillId="4" borderId="8" xfId="0" applyNumberFormat="1" applyFill="1" applyBorder="1" applyAlignment="1">
      <alignment horizontal="center" vertical="center"/>
    </xf>
    <xf numFmtId="3" fontId="2" fillId="7" borderId="51" xfId="0" applyNumberFormat="1" applyFont="1" applyFill="1" applyBorder="1" applyAlignment="1">
      <alignment horizontal="center" vertical="center"/>
    </xf>
    <xf numFmtId="3" fontId="2" fillId="7" borderId="8" xfId="0" applyNumberFormat="1" applyFont="1" applyFill="1" applyBorder="1" applyAlignment="1">
      <alignment horizontal="center" vertical="center"/>
    </xf>
    <xf numFmtId="3" fontId="0" fillId="4" borderId="56" xfId="0" applyNumberFormat="1" applyFill="1" applyBorder="1" applyAlignment="1">
      <alignment horizontal="center" vertical="center"/>
    </xf>
    <xf numFmtId="3" fontId="0" fillId="4" borderId="57" xfId="0" applyNumberFormat="1" applyFill="1" applyBorder="1" applyAlignment="1">
      <alignment horizontal="center" vertical="center"/>
    </xf>
    <xf numFmtId="3" fontId="2" fillId="7" borderId="56" xfId="0" applyNumberFormat="1" applyFont="1" applyFill="1" applyBorder="1" applyAlignment="1">
      <alignment horizontal="center" vertical="center"/>
    </xf>
    <xf numFmtId="3" fontId="2" fillId="7" borderId="57" xfId="0" applyNumberFormat="1" applyFont="1" applyFill="1" applyBorder="1" applyAlignment="1">
      <alignment horizontal="center" vertical="center"/>
    </xf>
    <xf numFmtId="9" fontId="2" fillId="7" borderId="37" xfId="0" applyNumberFormat="1" applyFont="1" applyFill="1" applyBorder="1" applyAlignment="1">
      <alignment horizontal="center" vertical="center"/>
    </xf>
    <xf numFmtId="9" fontId="2" fillId="7" borderId="39" xfId="0" applyNumberFormat="1" applyFont="1" applyFill="1" applyBorder="1" applyAlignment="1">
      <alignment horizontal="center" vertical="center"/>
    </xf>
    <xf numFmtId="0" fontId="29" fillId="0" borderId="0" xfId="0" applyFont="1" applyProtection="1">
      <protection locked="0"/>
    </xf>
    <xf numFmtId="0" fontId="14" fillId="0" borderId="74" xfId="0" applyFont="1" applyBorder="1"/>
    <xf numFmtId="0" fontId="14" fillId="0" borderId="8" xfId="0" applyFont="1" applyBorder="1"/>
    <xf numFmtId="0" fontId="14" fillId="0" borderId="8" xfId="0" applyFont="1" applyBorder="1" applyProtection="1">
      <protection locked="0"/>
    </xf>
    <xf numFmtId="0" fontId="14" fillId="0" borderId="8" xfId="0" applyFont="1" applyBorder="1" applyAlignment="1" applyProtection="1">
      <alignment wrapText="1"/>
      <protection locked="0"/>
    </xf>
    <xf numFmtId="0" fontId="14" fillId="0" borderId="74" xfId="0" applyFont="1" applyBorder="1" applyAlignment="1">
      <alignment wrapText="1"/>
    </xf>
    <xf numFmtId="0" fontId="14" fillId="0" borderId="107" xfId="0" applyFont="1" applyBorder="1" applyAlignment="1">
      <alignment horizontal="right"/>
    </xf>
    <xf numFmtId="0" fontId="14" fillId="0" borderId="113" xfId="0" applyFont="1" applyBorder="1" applyAlignment="1">
      <alignment wrapText="1"/>
    </xf>
    <xf numFmtId="3" fontId="14" fillId="0" borderId="8" xfId="0" applyNumberFormat="1" applyFont="1" applyBorder="1" applyAlignment="1">
      <alignment horizontal="center"/>
    </xf>
    <xf numFmtId="0" fontId="14" fillId="0" borderId="8" xfId="0" applyFont="1" applyBorder="1" applyAlignment="1">
      <alignment horizontal="center"/>
    </xf>
    <xf numFmtId="1" fontId="14" fillId="0" borderId="8" xfId="0" applyNumberFormat="1" applyFont="1" applyBorder="1" applyAlignment="1">
      <alignment horizontal="center"/>
    </xf>
    <xf numFmtId="0" fontId="0" fillId="0" borderId="8" xfId="0" applyBorder="1" applyAlignment="1">
      <alignment horizontal="right" wrapText="1"/>
    </xf>
    <xf numFmtId="0" fontId="14" fillId="0" borderId="107" xfId="0" applyFont="1" applyBorder="1" applyAlignment="1">
      <alignment wrapText="1"/>
    </xf>
    <xf numFmtId="0" fontId="14" fillId="0" borderId="85" xfId="0" applyFont="1" applyBorder="1" applyAlignment="1">
      <alignment wrapText="1"/>
    </xf>
    <xf numFmtId="0" fontId="14" fillId="0" borderId="8" xfId="0" applyFont="1" applyBorder="1" applyAlignment="1">
      <alignment wrapText="1"/>
    </xf>
    <xf numFmtId="0" fontId="14" fillId="0" borderId="102" xfId="0" applyFont="1" applyBorder="1" applyAlignment="1">
      <alignment horizontal="right"/>
    </xf>
    <xf numFmtId="3" fontId="14" fillId="0" borderId="103" xfId="0" applyNumberFormat="1" applyFont="1" applyBorder="1" applyAlignment="1">
      <alignment horizontal="right"/>
    </xf>
    <xf numFmtId="3" fontId="14" fillId="0" borderId="102" xfId="0" applyNumberFormat="1" applyFont="1" applyBorder="1" applyAlignment="1">
      <alignment horizontal="right"/>
    </xf>
    <xf numFmtId="3" fontId="14" fillId="0" borderId="8" xfId="0" applyNumberFormat="1" applyFont="1" applyBorder="1" applyAlignment="1">
      <alignment horizontal="right"/>
    </xf>
    <xf numFmtId="0" fontId="14" fillId="0" borderId="103" xfId="0" applyFont="1" applyBorder="1" applyAlignment="1">
      <alignment horizontal="right"/>
    </xf>
    <xf numFmtId="1" fontId="14" fillId="0" borderId="102" xfId="0" applyNumberFormat="1" applyFont="1" applyBorder="1" applyAlignment="1">
      <alignment horizontal="right"/>
    </xf>
    <xf numFmtId="0" fontId="14" fillId="0" borderId="8" xfId="0" applyFont="1" applyBorder="1" applyAlignment="1">
      <alignment horizontal="right"/>
    </xf>
    <xf numFmtId="1" fontId="14" fillId="0" borderId="8" xfId="0" applyNumberFormat="1" applyFont="1" applyBorder="1" applyAlignment="1">
      <alignment horizontal="right"/>
    </xf>
    <xf numFmtId="0" fontId="14" fillId="0" borderId="102" xfId="0" applyFont="1" applyBorder="1" applyAlignment="1">
      <alignment horizontal="right" wrapText="1"/>
    </xf>
    <xf numFmtId="0" fontId="14" fillId="0" borderId="40" xfId="0" applyFont="1" applyBorder="1" applyAlignment="1">
      <alignment horizontal="right" wrapText="1"/>
    </xf>
    <xf numFmtId="0" fontId="14" fillId="0" borderId="104" xfId="0" applyFont="1" applyBorder="1" applyAlignment="1">
      <alignment horizontal="right" wrapText="1"/>
    </xf>
    <xf numFmtId="0" fontId="14" fillId="0" borderId="106" xfId="0" applyFont="1" applyBorder="1" applyAlignment="1">
      <alignment horizontal="right" wrapText="1"/>
    </xf>
    <xf numFmtId="3" fontId="14" fillId="0" borderId="8" xfId="0" applyNumberFormat="1" applyFont="1" applyBorder="1" applyAlignment="1" applyProtection="1">
      <alignment horizontal="right"/>
      <protection locked="0"/>
    </xf>
    <xf numFmtId="0" fontId="14" fillId="0" borderId="8" xfId="0" applyFont="1" applyBorder="1" applyAlignment="1" applyProtection="1">
      <alignment horizontal="left" vertical="top" wrapText="1"/>
      <protection locked="0"/>
    </xf>
    <xf numFmtId="0" fontId="0" fillId="0" borderId="39" xfId="0" applyBorder="1" applyAlignment="1">
      <alignment horizontal="center" vertical="center" wrapText="1"/>
    </xf>
    <xf numFmtId="0" fontId="0" fillId="0" borderId="3" xfId="0" applyBorder="1" applyAlignment="1">
      <alignment horizontal="center" vertical="center" wrapText="1"/>
    </xf>
    <xf numFmtId="3" fontId="0" fillId="7" borderId="62" xfId="0" applyNumberFormat="1" applyFill="1" applyBorder="1" applyAlignment="1">
      <alignment horizontal="center" vertical="center" wrapText="1"/>
    </xf>
    <xf numFmtId="3" fontId="0" fillId="7" borderId="10" xfId="0" applyNumberFormat="1" applyFill="1" applyBorder="1" applyAlignment="1">
      <alignment horizontal="center" vertical="center" wrapText="1"/>
    </xf>
    <xf numFmtId="3" fontId="0" fillId="7" borderId="27" xfId="0" applyNumberFormat="1" applyFill="1" applyBorder="1" applyAlignment="1">
      <alignment horizontal="center" vertical="center" wrapText="1"/>
    </xf>
    <xf numFmtId="3" fontId="0" fillId="7" borderId="16" xfId="0" applyNumberFormat="1" applyFill="1" applyBorder="1" applyAlignment="1">
      <alignment horizontal="center" vertical="center"/>
    </xf>
    <xf numFmtId="3" fontId="0" fillId="7" borderId="27" xfId="0" applyNumberFormat="1" applyFill="1" applyBorder="1" applyAlignment="1">
      <alignment horizontal="center" vertical="center"/>
    </xf>
    <xf numFmtId="0" fontId="0" fillId="0" borderId="61" xfId="0" applyBorder="1" applyAlignment="1">
      <alignment horizontal="center" vertical="center" wrapText="1"/>
    </xf>
    <xf numFmtId="0" fontId="0" fillId="0" borderId="61" xfId="0" applyBorder="1" applyAlignment="1">
      <alignment horizontal="center" vertical="center"/>
    </xf>
    <xf numFmtId="1" fontId="0" fillId="4" borderId="56" xfId="0" applyNumberFormat="1" applyFill="1" applyBorder="1" applyAlignment="1">
      <alignment horizontal="center" vertical="center"/>
    </xf>
    <xf numFmtId="0" fontId="30" fillId="0" borderId="34" xfId="0" applyFont="1" applyBorder="1" applyProtection="1">
      <protection locked="0"/>
    </xf>
    <xf numFmtId="17" fontId="30" fillId="0" borderId="34" xfId="0" applyNumberFormat="1" applyFont="1" applyBorder="1" applyProtection="1">
      <protection locked="0"/>
    </xf>
    <xf numFmtId="0" fontId="14" fillId="32" borderId="8" xfId="0" applyFont="1" applyFill="1" applyBorder="1" applyAlignment="1" applyProtection="1">
      <alignment horizontal="left" vertical="top" wrapText="1"/>
      <protection locked="0"/>
    </xf>
    <xf numFmtId="0" fontId="14" fillId="32" borderId="41" xfId="0" applyFont="1" applyFill="1" applyBorder="1" applyAlignment="1" applyProtection="1">
      <alignment horizontal="left" vertical="top" wrapText="1"/>
      <protection locked="0"/>
    </xf>
    <xf numFmtId="0" fontId="14" fillId="3" borderId="41" xfId="0" applyFont="1" applyFill="1" applyBorder="1" applyAlignment="1" applyProtection="1">
      <alignment horizontal="left" vertical="top" wrapText="1"/>
      <protection locked="0"/>
    </xf>
    <xf numFmtId="0" fontId="16" fillId="20" borderId="41" xfId="0" applyFont="1" applyFill="1" applyBorder="1" applyAlignment="1" applyProtection="1">
      <alignment horizontal="left" vertical="top" wrapText="1"/>
      <protection locked="0"/>
    </xf>
    <xf numFmtId="0" fontId="34" fillId="32" borderId="0" xfId="0" applyFont="1" applyFill="1" applyAlignment="1" applyProtection="1">
      <alignment wrapText="1"/>
      <protection locked="0"/>
    </xf>
    <xf numFmtId="0" fontId="32" fillId="32" borderId="0" xfId="0" applyFont="1" applyFill="1" applyAlignment="1" applyProtection="1">
      <alignment wrapText="1"/>
      <protection locked="0"/>
    </xf>
    <xf numFmtId="0" fontId="2" fillId="20" borderId="0" xfId="0" applyFont="1" applyFill="1" applyAlignment="1" applyProtection="1">
      <alignment wrapText="1"/>
      <protection locked="0"/>
    </xf>
    <xf numFmtId="0" fontId="14" fillId="0" borderId="74" xfId="0" applyFont="1" applyBorder="1" applyAlignment="1" applyProtection="1">
      <alignment wrapText="1"/>
      <protection locked="0"/>
    </xf>
    <xf numFmtId="15" fontId="30" fillId="0" borderId="34" xfId="0" applyNumberFormat="1" applyFont="1" applyBorder="1" applyProtection="1">
      <protection locked="0"/>
    </xf>
    <xf numFmtId="0" fontId="14" fillId="32" borderId="111" xfId="0" applyFont="1" applyFill="1" applyBorder="1" applyAlignment="1" applyProtection="1">
      <alignment horizontal="left" vertical="top" wrapText="1"/>
      <protection locked="0"/>
    </xf>
    <xf numFmtId="0" fontId="14" fillId="32" borderId="105" xfId="0" applyFont="1" applyFill="1" applyBorder="1" applyAlignment="1" applyProtection="1">
      <alignment horizontal="left" vertical="top" wrapText="1"/>
      <protection locked="0"/>
    </xf>
    <xf numFmtId="0" fontId="16" fillId="32" borderId="111" xfId="0" applyFont="1" applyFill="1" applyBorder="1" applyAlignment="1" applyProtection="1">
      <alignment horizontal="left" vertical="top" wrapText="1"/>
      <protection locked="0"/>
    </xf>
    <xf numFmtId="0" fontId="14" fillId="0" borderId="107" xfId="0" applyFont="1" applyBorder="1" applyAlignment="1" applyProtection="1">
      <alignment horizontal="right"/>
      <protection locked="0"/>
    </xf>
    <xf numFmtId="0" fontId="14" fillId="0" borderId="74" xfId="0" applyFont="1" applyBorder="1" applyAlignment="1" applyProtection="1">
      <alignment horizontal="right" wrapText="1"/>
      <protection locked="0"/>
    </xf>
    <xf numFmtId="0" fontId="14" fillId="0" borderId="113" xfId="0" applyFont="1" applyBorder="1" applyAlignment="1" applyProtection="1">
      <alignment horizontal="right" wrapText="1"/>
      <protection locked="0"/>
    </xf>
    <xf numFmtId="0" fontId="14" fillId="32" borderId="114" xfId="0" applyFont="1" applyFill="1" applyBorder="1" applyAlignment="1" applyProtection="1">
      <alignment horizontal="right" vertical="top" wrapText="1"/>
      <protection locked="0"/>
    </xf>
    <xf numFmtId="0" fontId="33" fillId="20" borderId="8" xfId="0" applyFont="1" applyFill="1" applyBorder="1" applyAlignment="1" applyProtection="1">
      <alignment horizontal="left" vertical="top" wrapText="1"/>
      <protection locked="0"/>
    </xf>
    <xf numFmtId="0" fontId="14" fillId="33" borderId="104" xfId="0" applyFont="1" applyFill="1" applyBorder="1" applyAlignment="1" applyProtection="1">
      <alignment horizontal="right"/>
      <protection locked="0"/>
    </xf>
    <xf numFmtId="0" fontId="14" fillId="33" borderId="105" xfId="0" applyFont="1" applyFill="1" applyBorder="1" applyAlignment="1" applyProtection="1">
      <alignment horizontal="right"/>
      <protection locked="0"/>
    </xf>
    <xf numFmtId="0" fontId="14" fillId="33" borderId="102" xfId="0" applyFont="1" applyFill="1" applyBorder="1" applyAlignment="1" applyProtection="1">
      <alignment horizontal="right"/>
      <protection locked="0"/>
    </xf>
    <xf numFmtId="0" fontId="8" fillId="0" borderId="0" xfId="0" applyFont="1" applyAlignment="1" applyProtection="1">
      <alignment wrapText="1"/>
      <protection locked="0"/>
    </xf>
    <xf numFmtId="0" fontId="31" fillId="0" borderId="0" xfId="0" applyFont="1" applyAlignment="1" applyProtection="1">
      <alignment vertical="top" wrapText="1"/>
      <protection locked="0"/>
    </xf>
    <xf numFmtId="0" fontId="8" fillId="0" borderId="0" xfId="0" applyFont="1" applyAlignment="1" applyProtection="1">
      <alignment vertical="top" wrapText="1"/>
      <protection locked="0"/>
    </xf>
    <xf numFmtId="0" fontId="8" fillId="0" borderId="0" xfId="0" applyFont="1" applyAlignment="1">
      <alignment horizontal="left" vertical="center" wrapText="1"/>
    </xf>
    <xf numFmtId="0" fontId="8" fillId="0" borderId="0" xfId="0" applyFont="1" applyAlignment="1">
      <alignment wrapText="1"/>
    </xf>
    <xf numFmtId="0" fontId="8" fillId="0" borderId="0" xfId="0" applyFont="1" applyAlignment="1">
      <alignment vertical="top" wrapText="1"/>
    </xf>
    <xf numFmtId="0" fontId="24" fillId="0" borderId="0" xfId="0" applyFont="1" applyAlignment="1">
      <alignment vertical="top" wrapText="1"/>
    </xf>
    <xf numFmtId="0" fontId="9" fillId="11" borderId="45" xfId="0" applyFont="1" applyFill="1" applyBorder="1" applyAlignment="1">
      <alignment horizontal="left" vertical="center" wrapText="1"/>
    </xf>
    <xf numFmtId="0" fontId="23" fillId="0" borderId="46" xfId="0" applyFont="1" applyBorder="1" applyAlignment="1">
      <alignment wrapText="1"/>
    </xf>
    <xf numFmtId="0" fontId="9" fillId="11" borderId="51" xfId="0" applyFont="1" applyFill="1" applyBorder="1" applyAlignment="1">
      <alignment horizontal="left" vertical="center" wrapText="1"/>
    </xf>
    <xf numFmtId="0" fontId="23" fillId="0" borderId="8" xfId="0" applyFont="1" applyBorder="1" applyAlignment="1">
      <alignment wrapText="1"/>
    </xf>
    <xf numFmtId="0" fontId="9" fillId="11" borderId="46" xfId="0" applyFont="1" applyFill="1" applyBorder="1" applyAlignment="1">
      <alignment horizontal="left" vertical="center" wrapText="1"/>
    </xf>
    <xf numFmtId="0" fontId="9" fillId="11" borderId="8" xfId="0" applyFont="1" applyFill="1" applyBorder="1" applyAlignment="1">
      <alignment horizontal="left" vertical="center" wrapText="1"/>
    </xf>
    <xf numFmtId="0" fontId="24" fillId="0" borderId="0" xfId="0" applyFont="1" applyAlignment="1">
      <alignment horizontal="left" vertical="center" wrapText="1"/>
    </xf>
    <xf numFmtId="0" fontId="25" fillId="0" borderId="0" xfId="0" applyFont="1" applyAlignment="1">
      <alignment horizontal="left" vertical="center" wrapText="1"/>
    </xf>
    <xf numFmtId="0" fontId="22" fillId="0" borderId="0" xfId="0" applyFont="1" applyAlignment="1">
      <alignment vertical="center" wrapText="1"/>
    </xf>
    <xf numFmtId="17" fontId="8" fillId="9" borderId="51" xfId="0" applyNumberFormat="1" applyFont="1" applyFill="1" applyBorder="1" applyAlignment="1">
      <alignment horizontal="left" vertical="center" wrapText="1"/>
    </xf>
    <xf numFmtId="17" fontId="8" fillId="9" borderId="56" xfId="0" applyNumberFormat="1" applyFont="1" applyFill="1" applyBorder="1" applyAlignment="1">
      <alignment horizontal="left" vertical="center" wrapText="1"/>
    </xf>
    <xf numFmtId="0" fontId="23" fillId="0" borderId="57" xfId="0" applyFont="1" applyBorder="1" applyAlignment="1">
      <alignment wrapText="1"/>
    </xf>
    <xf numFmtId="0" fontId="8" fillId="10" borderId="8" xfId="0" applyFont="1" applyFill="1" applyBorder="1" applyAlignment="1">
      <alignment horizontal="left" vertical="center" wrapText="1"/>
    </xf>
    <xf numFmtId="0" fontId="8" fillId="10" borderId="57" xfId="0" applyFont="1" applyFill="1" applyBorder="1" applyAlignment="1">
      <alignment horizontal="left" vertical="center" wrapText="1"/>
    </xf>
    <xf numFmtId="0" fontId="23" fillId="0" borderId="52" xfId="0" applyFont="1" applyBorder="1" applyAlignment="1">
      <alignment wrapText="1"/>
    </xf>
    <xf numFmtId="0" fontId="23" fillId="0" borderId="59" xfId="0" applyFont="1" applyBorder="1" applyAlignment="1">
      <alignment wrapText="1"/>
    </xf>
    <xf numFmtId="0" fontId="2" fillId="8" borderId="27" xfId="0" applyFont="1" applyFill="1" applyBorder="1" applyAlignment="1">
      <alignment wrapText="1"/>
    </xf>
    <xf numFmtId="0" fontId="0" fillId="8" borderId="20" xfId="0" applyFill="1" applyBorder="1" applyAlignment="1">
      <alignment wrapText="1"/>
    </xf>
    <xf numFmtId="0" fontId="0" fillId="0" borderId="0" xfId="0" applyAlignment="1">
      <alignment horizontal="left" vertical="center" wrapText="1"/>
    </xf>
    <xf numFmtId="0" fontId="2" fillId="8" borderId="27" xfId="0" applyFont="1" applyFill="1" applyBorder="1" applyAlignment="1">
      <alignment horizontal="center" wrapText="1"/>
    </xf>
    <xf numFmtId="0" fontId="3" fillId="8" borderId="8" xfId="0" applyFont="1" applyFill="1" applyBorder="1" applyAlignment="1">
      <alignment horizontal="center"/>
    </xf>
    <xf numFmtId="0" fontId="4" fillId="8" borderId="8" xfId="0" applyFont="1" applyFill="1" applyBorder="1" applyAlignment="1">
      <alignment horizontal="center"/>
    </xf>
    <xf numFmtId="0" fontId="4" fillId="8" borderId="27" xfId="0" applyFont="1" applyFill="1" applyBorder="1" applyAlignment="1">
      <alignment horizontal="center"/>
    </xf>
    <xf numFmtId="3" fontId="14" fillId="0" borderId="108" xfId="0" applyNumberFormat="1" applyFont="1" applyBorder="1" applyAlignment="1">
      <alignment horizontal="right"/>
    </xf>
    <xf numFmtId="3" fontId="14" fillId="0" borderId="109" xfId="0" applyNumberFormat="1" applyFont="1" applyBorder="1" applyAlignment="1">
      <alignment horizontal="right"/>
    </xf>
    <xf numFmtId="0" fontId="2" fillId="8" borderId="9" xfId="0" applyFont="1" applyFill="1" applyBorder="1" applyAlignment="1">
      <alignment wrapText="1"/>
    </xf>
    <xf numFmtId="0" fontId="0" fillId="8" borderId="17" xfId="0" applyFill="1" applyBorder="1" applyAlignment="1">
      <alignment wrapText="1"/>
    </xf>
    <xf numFmtId="0" fontId="2" fillId="8" borderId="97" xfId="0" applyFont="1" applyFill="1" applyBorder="1" applyAlignment="1">
      <alignment horizontal="center" vertical="top" wrapText="1"/>
    </xf>
    <xf numFmtId="0" fontId="0" fillId="8" borderId="93" xfId="0" applyFill="1" applyBorder="1" applyAlignment="1">
      <alignment horizontal="center" vertical="top" wrapText="1"/>
    </xf>
    <xf numFmtId="0" fontId="2" fillId="8" borderId="97" xfId="0" applyFont="1" applyFill="1" applyBorder="1" applyAlignment="1">
      <alignment horizontal="center" wrapText="1"/>
    </xf>
    <xf numFmtId="0" fontId="0" fillId="8" borderId="93" xfId="0" applyFill="1" applyBorder="1" applyAlignment="1">
      <alignment wrapText="1"/>
    </xf>
    <xf numFmtId="0" fontId="2" fillId="8" borderId="10" xfId="0" applyFont="1" applyFill="1" applyBorder="1" applyAlignment="1">
      <alignment horizontal="center" wrapText="1"/>
    </xf>
    <xf numFmtId="0" fontId="0" fillId="8" borderId="19" xfId="0" applyFill="1" applyBorder="1" applyAlignment="1">
      <alignment wrapText="1"/>
    </xf>
    <xf numFmtId="0" fontId="14" fillId="32" borderId="10" xfId="0" applyFont="1" applyFill="1" applyBorder="1" applyAlignment="1" applyProtection="1">
      <alignment horizontal="left" vertical="top" wrapText="1"/>
      <protection locked="0"/>
    </xf>
    <xf numFmtId="0" fontId="14" fillId="32" borderId="19" xfId="0" applyFont="1" applyFill="1" applyBorder="1" applyAlignment="1" applyProtection="1">
      <alignment horizontal="left" vertical="top" wrapText="1"/>
      <protection locked="0"/>
    </xf>
    <xf numFmtId="9" fontId="14" fillId="0" borderId="119" xfId="0" applyNumberFormat="1" applyFont="1" applyBorder="1" applyAlignment="1">
      <alignment horizontal="center" vertical="center"/>
    </xf>
    <xf numFmtId="9" fontId="14" fillId="0" borderId="120" xfId="0" applyNumberFormat="1" applyFont="1" applyBorder="1" applyAlignment="1">
      <alignment horizontal="center" vertical="center"/>
    </xf>
    <xf numFmtId="9" fontId="14" fillId="0" borderId="119" xfId="0" applyNumberFormat="1" applyFont="1" applyBorder="1" applyAlignment="1" applyProtection="1">
      <alignment horizontal="center" vertical="center"/>
      <protection locked="0"/>
    </xf>
    <xf numFmtId="9" fontId="14" fillId="0" borderId="120" xfId="0" applyNumberFormat="1" applyFont="1" applyBorder="1" applyAlignment="1" applyProtection="1">
      <alignment horizontal="center" vertical="center"/>
      <protection locked="0"/>
    </xf>
    <xf numFmtId="3" fontId="14" fillId="0" borderId="108" xfId="0" applyNumberFormat="1" applyFont="1" applyBorder="1" applyAlignment="1" applyProtection="1">
      <alignment horizontal="right"/>
      <protection locked="0"/>
    </xf>
    <xf numFmtId="3" fontId="14" fillId="0" borderId="121" xfId="0" applyNumberFormat="1" applyFont="1" applyBorder="1" applyAlignment="1" applyProtection="1">
      <alignment horizontal="right"/>
      <protection locked="0"/>
    </xf>
    <xf numFmtId="0" fontId="0" fillId="0" borderId="0" xfId="0" applyAlignment="1">
      <alignment horizontal="left" vertical="top" wrapText="1"/>
    </xf>
    <xf numFmtId="0" fontId="0" fillId="8" borderId="98" xfId="0" applyFill="1" applyBorder="1" applyAlignment="1">
      <alignment horizontal="center" vertical="top" wrapText="1"/>
    </xf>
    <xf numFmtId="0" fontId="14" fillId="0" borderId="110" xfId="0" applyFont="1" applyBorder="1" applyAlignment="1">
      <alignment vertical="center"/>
    </xf>
    <xf numFmtId="0" fontId="14" fillId="0" borderId="112" xfId="0" applyFont="1" applyBorder="1" applyAlignment="1">
      <alignment vertical="center"/>
    </xf>
    <xf numFmtId="0" fontId="14" fillId="8" borderId="17" xfId="0" applyFont="1" applyFill="1" applyBorder="1" applyAlignment="1">
      <alignment horizontal="center"/>
    </xf>
    <xf numFmtId="0" fontId="14" fillId="8" borderId="14" xfId="0" applyFont="1" applyFill="1" applyBorder="1" applyAlignment="1">
      <alignment horizontal="center"/>
    </xf>
    <xf numFmtId="0" fontId="14" fillId="8" borderId="19" xfId="0" applyFont="1" applyFill="1" applyBorder="1" applyAlignment="1">
      <alignment horizontal="center"/>
    </xf>
    <xf numFmtId="0" fontId="14" fillId="8" borderId="11" xfId="0" applyFont="1" applyFill="1" applyBorder="1" applyAlignment="1">
      <alignment horizontal="center"/>
    </xf>
    <xf numFmtId="0" fontId="14" fillId="8" borderId="0" xfId="0" applyFont="1" applyFill="1" applyAlignment="1">
      <alignment horizontal="center"/>
    </xf>
    <xf numFmtId="0" fontId="14" fillId="8" borderId="12" xfId="0" applyFont="1" applyFill="1" applyBorder="1" applyAlignment="1">
      <alignment horizontal="center"/>
    </xf>
    <xf numFmtId="0" fontId="2" fillId="9" borderId="27" xfId="0" applyFont="1" applyFill="1" applyBorder="1" applyAlignment="1">
      <alignment horizontal="center" vertical="center" wrapText="1"/>
    </xf>
    <xf numFmtId="0" fontId="2" fillId="0" borderId="42" xfId="0" applyFont="1" applyBorder="1" applyAlignment="1">
      <alignment horizontal="center" vertical="center" wrapText="1"/>
    </xf>
    <xf numFmtId="0" fontId="2" fillId="0" borderId="20" xfId="0" applyFont="1" applyBorder="1" applyAlignment="1">
      <alignment horizontal="center" vertical="center" wrapText="1"/>
    </xf>
    <xf numFmtId="0" fontId="0" fillId="0" borderId="27" xfId="0" applyBorder="1" applyAlignment="1">
      <alignment horizontal="center" vertical="center"/>
    </xf>
    <xf numFmtId="0" fontId="0" fillId="0" borderId="42" xfId="0" applyBorder="1" applyAlignment="1">
      <alignment horizontal="center" vertical="center"/>
    </xf>
    <xf numFmtId="0" fontId="0" fillId="0" borderId="20" xfId="0" applyBorder="1" applyAlignment="1">
      <alignment horizontal="center" vertical="center"/>
    </xf>
    <xf numFmtId="0" fontId="7" fillId="8" borderId="37" xfId="0" applyFont="1" applyFill="1" applyBorder="1" applyAlignment="1">
      <alignment horizontal="center"/>
    </xf>
    <xf numFmtId="0" fontId="7" fillId="8" borderId="38" xfId="0" applyFont="1" applyFill="1" applyBorder="1" applyAlignment="1">
      <alignment horizontal="center"/>
    </xf>
    <xf numFmtId="0" fontId="7" fillId="8" borderId="39" xfId="0" applyFont="1" applyFill="1" applyBorder="1" applyAlignment="1">
      <alignment horizontal="center"/>
    </xf>
    <xf numFmtId="0" fontId="12" fillId="12" borderId="40" xfId="2" applyFont="1" applyBorder="1" applyAlignment="1">
      <alignment horizontal="center"/>
    </xf>
    <xf numFmtId="0" fontId="0" fillId="0" borderId="41" xfId="0" applyBorder="1" applyAlignment="1"/>
    <xf numFmtId="0" fontId="0" fillId="9" borderId="27" xfId="0" applyFill="1" applyBorder="1" applyAlignment="1">
      <alignment horizontal="center" vertical="center"/>
    </xf>
    <xf numFmtId="0" fontId="0" fillId="0" borderId="42" xfId="0" applyBorder="1" applyAlignment="1">
      <alignment horizontal="center"/>
    </xf>
    <xf numFmtId="0" fontId="7" fillId="8" borderId="5" xfId="0" applyFont="1" applyFill="1" applyBorder="1" applyAlignment="1">
      <alignment horizontal="center" vertical="center" wrapText="1"/>
    </xf>
    <xf numFmtId="0" fontId="7" fillId="8" borderId="0" xfId="0" applyFont="1" applyFill="1" applyAlignment="1">
      <alignment horizontal="center" vertical="center" wrapText="1"/>
    </xf>
    <xf numFmtId="0" fontId="2" fillId="0" borderId="0" xfId="0" applyFont="1" applyAlignment="1" applyProtection="1">
      <alignment vertical="center" wrapText="1"/>
      <protection locked="0"/>
    </xf>
    <xf numFmtId="0" fontId="2" fillId="14" borderId="1" xfId="0" applyFont="1" applyFill="1" applyBorder="1" applyAlignment="1">
      <alignment vertical="center" wrapText="1"/>
    </xf>
    <xf numFmtId="0" fontId="0" fillId="14" borderId="2" xfId="0" applyFill="1" applyBorder="1" applyAlignment="1">
      <alignment vertical="center" wrapText="1"/>
    </xf>
    <xf numFmtId="0" fontId="0" fillId="14" borderId="5" xfId="0" applyFill="1" applyBorder="1" applyAlignment="1">
      <alignment vertical="center" wrapText="1"/>
    </xf>
    <xf numFmtId="0" fontId="0" fillId="14" borderId="0" xfId="0" applyFill="1" applyAlignment="1">
      <alignment vertical="center" wrapText="1"/>
    </xf>
    <xf numFmtId="0" fontId="0" fillId="14" borderId="29" xfId="0" applyFill="1" applyBorder="1" applyAlignment="1">
      <alignment vertical="center" wrapText="1"/>
    </xf>
    <xf numFmtId="0" fontId="0" fillId="14" borderId="34" xfId="0" applyFill="1" applyBorder="1" applyAlignment="1">
      <alignment vertical="center" wrapText="1"/>
    </xf>
    <xf numFmtId="0" fontId="2" fillId="7" borderId="21" xfId="0" applyFont="1" applyFill="1" applyBorder="1" applyAlignment="1">
      <alignment horizontal="center" vertical="center" wrapText="1"/>
    </xf>
    <xf numFmtId="0" fontId="0" fillId="7" borderId="30" xfId="0" applyFill="1" applyBorder="1" applyAlignment="1">
      <alignment horizontal="center" vertical="center" wrapText="1"/>
    </xf>
    <xf numFmtId="0" fontId="0" fillId="7" borderId="31" xfId="0" applyFill="1" applyBorder="1" applyAlignment="1">
      <alignment horizontal="center" vertical="center" wrapText="1"/>
    </xf>
    <xf numFmtId="0" fontId="2" fillId="7" borderId="30" xfId="0" applyFont="1" applyFill="1" applyBorder="1" applyAlignment="1">
      <alignment horizontal="center" vertical="center"/>
    </xf>
    <xf numFmtId="0" fontId="2" fillId="7" borderId="43" xfId="0" applyFont="1" applyFill="1" applyBorder="1" applyAlignment="1">
      <alignment horizontal="center" vertical="center"/>
    </xf>
    <xf numFmtId="0" fontId="2" fillId="7" borderId="44" xfId="0" applyFont="1" applyFill="1" applyBorder="1" applyAlignment="1">
      <alignment horizontal="center" vertical="center"/>
    </xf>
    <xf numFmtId="0" fontId="0" fillId="7" borderId="43" xfId="0" applyFill="1" applyBorder="1" applyAlignment="1">
      <alignment horizontal="center" vertical="center"/>
    </xf>
    <xf numFmtId="0" fontId="2" fillId="7" borderId="21" xfId="0" applyFont="1" applyFill="1" applyBorder="1" applyAlignment="1">
      <alignment horizontal="center" vertical="center"/>
    </xf>
    <xf numFmtId="0" fontId="2" fillId="7" borderId="48" xfId="0" applyFont="1" applyFill="1" applyBorder="1" applyAlignment="1">
      <alignment horizontal="center" vertical="center"/>
    </xf>
    <xf numFmtId="0" fontId="2" fillId="7" borderId="41" xfId="0" applyFont="1" applyFill="1" applyBorder="1" applyAlignment="1">
      <alignment horizontal="center" vertical="center"/>
    </xf>
    <xf numFmtId="0" fontId="2" fillId="7" borderId="51" xfId="0" applyFont="1" applyFill="1" applyBorder="1" applyAlignment="1">
      <alignment horizontal="center" vertical="center"/>
    </xf>
    <xf numFmtId="0" fontId="2" fillId="7" borderId="52" xfId="0" applyFont="1" applyFill="1" applyBorder="1" applyAlignment="1">
      <alignment horizontal="center" vertical="center"/>
    </xf>
    <xf numFmtId="0" fontId="14" fillId="7" borderId="1" xfId="0" applyFont="1" applyFill="1" applyBorder="1" applyAlignment="1">
      <alignment vertical="center" wrapText="1"/>
    </xf>
    <xf numFmtId="0" fontId="14" fillId="0" borderId="3" xfId="0" applyFont="1" applyBorder="1" applyAlignment="1">
      <alignment vertical="center" wrapText="1"/>
    </xf>
    <xf numFmtId="0" fontId="2" fillId="7" borderId="45" xfId="0" applyFont="1" applyFill="1" applyBorder="1" applyAlignment="1">
      <alignment horizontal="center" vertical="center"/>
    </xf>
    <xf numFmtId="0" fontId="2" fillId="7" borderId="46" xfId="0" applyFont="1" applyFill="1" applyBorder="1" applyAlignment="1">
      <alignment horizontal="center" vertical="center"/>
    </xf>
    <xf numFmtId="0" fontId="2" fillId="7" borderId="47" xfId="0" applyFont="1" applyFill="1" applyBorder="1" applyAlignment="1">
      <alignment horizontal="center" vertical="center"/>
    </xf>
    <xf numFmtId="0" fontId="2" fillId="7" borderId="49" xfId="0" applyFont="1" applyFill="1" applyBorder="1" applyAlignment="1">
      <alignment horizontal="center" vertical="center"/>
    </xf>
    <xf numFmtId="0" fontId="0" fillId="7" borderId="50" xfId="0" applyFill="1" applyBorder="1" applyAlignment="1">
      <alignment horizontal="center" vertical="center"/>
    </xf>
    <xf numFmtId="0" fontId="0" fillId="7" borderId="49" xfId="0" applyFill="1" applyBorder="1" applyAlignment="1">
      <alignment horizontal="center" vertical="center"/>
    </xf>
    <xf numFmtId="0" fontId="2" fillId="7" borderId="8" xfId="0" applyFont="1" applyFill="1" applyBorder="1" applyAlignment="1">
      <alignment horizontal="center" vertical="center" wrapText="1"/>
    </xf>
    <xf numFmtId="0" fontId="0" fillId="7" borderId="8" xfId="0" applyFill="1" applyBorder="1" applyAlignment="1">
      <alignment horizontal="center" vertical="center" wrapText="1"/>
    </xf>
    <xf numFmtId="0" fontId="2" fillId="7" borderId="8" xfId="0" applyFont="1" applyFill="1" applyBorder="1" applyAlignment="1">
      <alignment horizontal="center" vertical="center"/>
    </xf>
    <xf numFmtId="0" fontId="2" fillId="7" borderId="40" xfId="0" applyFont="1" applyFill="1" applyBorder="1" applyAlignment="1">
      <alignment horizontal="center" vertical="center"/>
    </xf>
    <xf numFmtId="0" fontId="0" fillId="14" borderId="37" xfId="0" applyFill="1" applyBorder="1" applyAlignment="1">
      <alignment vertical="center" wrapText="1"/>
    </xf>
    <xf numFmtId="0" fontId="0" fillId="14" borderId="39" xfId="0" applyFill="1" applyBorder="1" applyAlignment="1">
      <alignment vertical="center"/>
    </xf>
    <xf numFmtId="0" fontId="2" fillId="14" borderId="1" xfId="0" applyFont="1" applyFill="1" applyBorder="1" applyAlignment="1">
      <alignment vertical="center" textRotation="90" wrapText="1"/>
    </xf>
    <xf numFmtId="0" fontId="0" fillId="14" borderId="5" xfId="0" applyFill="1" applyBorder="1" applyAlignment="1">
      <alignment vertical="center" textRotation="90" wrapText="1"/>
    </xf>
    <xf numFmtId="0" fontId="0" fillId="14" borderId="79" xfId="0" applyFill="1" applyBorder="1" applyAlignment="1">
      <alignment vertical="center" textRotation="90" wrapText="1"/>
    </xf>
    <xf numFmtId="0" fontId="2" fillId="14" borderId="61" xfId="0" applyFont="1" applyFill="1" applyBorder="1" applyAlignment="1">
      <alignment vertical="center" wrapText="1"/>
    </xf>
    <xf numFmtId="0" fontId="2" fillId="14" borderId="61" xfId="0" applyFont="1" applyFill="1" applyBorder="1" applyAlignment="1">
      <alignment vertical="center"/>
    </xf>
    <xf numFmtId="0" fontId="2" fillId="6" borderId="1" xfId="0" applyFont="1" applyFill="1" applyBorder="1" applyAlignment="1">
      <alignment vertical="center" wrapText="1"/>
    </xf>
    <xf numFmtId="0" fontId="0" fillId="6" borderId="2" xfId="0" applyFill="1" applyBorder="1" applyAlignment="1">
      <alignment vertical="center" wrapText="1"/>
    </xf>
    <xf numFmtId="0" fontId="0" fillId="6" borderId="5" xfId="0" applyFill="1" applyBorder="1" applyAlignment="1">
      <alignment vertical="center" wrapText="1"/>
    </xf>
    <xf numFmtId="0" fontId="0" fillId="6" borderId="0" xfId="0" applyFill="1" applyAlignment="1">
      <alignment vertical="center" wrapText="1"/>
    </xf>
    <xf numFmtId="0" fontId="0" fillId="6" borderId="29" xfId="0" applyFill="1" applyBorder="1" applyAlignment="1">
      <alignment vertical="center" wrapText="1"/>
    </xf>
    <xf numFmtId="0" fontId="0" fillId="6" borderId="34" xfId="0" applyFill="1" applyBorder="1" applyAlignment="1">
      <alignment vertical="center" wrapText="1"/>
    </xf>
    <xf numFmtId="0" fontId="14" fillId="7" borderId="37" xfId="0" applyFont="1" applyFill="1" applyBorder="1" applyAlignment="1">
      <alignment vertical="center" wrapText="1"/>
    </xf>
    <xf numFmtId="0" fontId="14" fillId="0" borderId="39" xfId="0" applyFont="1" applyBorder="1" applyAlignment="1">
      <alignment vertical="center" wrapText="1"/>
    </xf>
    <xf numFmtId="0" fontId="0" fillId="7" borderId="4" xfId="0" applyFill="1" applyBorder="1" applyAlignment="1">
      <alignment vertical="center" wrapText="1"/>
    </xf>
    <xf numFmtId="0" fontId="0" fillId="0" borderId="36" xfId="0" applyBorder="1" applyAlignment="1">
      <alignment vertical="center" wrapText="1"/>
    </xf>
    <xf numFmtId="0" fontId="14" fillId="7" borderId="4" xfId="0" applyFont="1" applyFill="1" applyBorder="1" applyAlignment="1">
      <alignment vertical="center" wrapText="1"/>
    </xf>
    <xf numFmtId="0" fontId="0" fillId="0" borderId="7" xfId="0" applyBorder="1" applyAlignment="1">
      <alignment vertical="center" wrapText="1"/>
    </xf>
    <xf numFmtId="0" fontId="0" fillId="0" borderId="37" xfId="0" applyBorder="1" applyAlignment="1">
      <alignment vertical="center" wrapText="1"/>
    </xf>
    <xf numFmtId="0" fontId="0" fillId="0" borderId="39" xfId="0" applyBorder="1" applyAlignment="1">
      <alignment vertical="center" wrapText="1"/>
    </xf>
    <xf numFmtId="0" fontId="0" fillId="0" borderId="4" xfId="0" applyBorder="1" applyAlignment="1">
      <alignment vertical="center" wrapText="1"/>
    </xf>
    <xf numFmtId="0" fontId="0" fillId="14" borderId="67" xfId="0" applyFill="1" applyBorder="1" applyAlignment="1">
      <alignment vertical="center"/>
    </xf>
    <xf numFmtId="0" fontId="0" fillId="14" borderId="68" xfId="0" applyFill="1" applyBorder="1" applyAlignment="1">
      <alignment vertical="center"/>
    </xf>
    <xf numFmtId="0" fontId="2" fillId="7" borderId="48" xfId="0" applyFont="1" applyFill="1" applyBorder="1" applyAlignment="1">
      <alignment horizontal="center" vertical="center" wrapText="1"/>
    </xf>
    <xf numFmtId="0" fontId="0" fillId="7" borderId="49" xfId="0" applyFill="1" applyBorder="1" applyAlignment="1">
      <alignment horizontal="center" vertical="center" wrapText="1"/>
    </xf>
    <xf numFmtId="0" fontId="3" fillId="7" borderId="29" xfId="0" applyFont="1" applyFill="1" applyBorder="1" applyAlignment="1">
      <alignment horizontal="center" vertical="center"/>
    </xf>
    <xf numFmtId="0" fontId="0" fillId="0" borderId="34" xfId="0" applyBorder="1" applyAlignment="1">
      <alignment vertical="center"/>
    </xf>
    <xf numFmtId="0" fontId="0" fillId="0" borderId="32" xfId="0" applyBorder="1" applyAlignment="1">
      <alignment vertical="center"/>
    </xf>
    <xf numFmtId="0" fontId="3" fillId="7" borderId="37" xfId="0" applyFont="1" applyFill="1"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14" fillId="7" borderId="5" xfId="0" applyFont="1" applyFill="1" applyBorder="1" applyAlignment="1">
      <alignment vertical="center" wrapText="1"/>
    </xf>
    <xf numFmtId="0" fontId="0" fillId="0" borderId="5" xfId="0" applyBorder="1" applyAlignment="1">
      <alignment vertical="center" wrapText="1"/>
    </xf>
    <xf numFmtId="0" fontId="0" fillId="6" borderId="67" xfId="0" applyFill="1" applyBorder="1" applyAlignment="1">
      <alignment vertical="center"/>
    </xf>
    <xf numFmtId="0" fontId="0" fillId="6" borderId="68" xfId="0" applyFill="1" applyBorder="1" applyAlignment="1">
      <alignment vertical="center"/>
    </xf>
    <xf numFmtId="0" fontId="6" fillId="0" borderId="45" xfId="0" applyFont="1" applyBorder="1" applyAlignment="1">
      <alignment vertical="center" wrapText="1"/>
    </xf>
    <xf numFmtId="0" fontId="0" fillId="0" borderId="56" xfId="0" applyBorder="1" applyAlignment="1">
      <alignment vertical="center" wrapText="1"/>
    </xf>
    <xf numFmtId="0" fontId="2" fillId="4" borderId="44" xfId="0" applyFont="1" applyFill="1" applyBorder="1" applyAlignment="1">
      <alignment vertical="center" wrapText="1"/>
    </xf>
    <xf numFmtId="0" fontId="0" fillId="4" borderId="30" xfId="0" applyFill="1" applyBorder="1" applyAlignment="1">
      <alignment vertical="center" wrapText="1"/>
    </xf>
    <xf numFmtId="0" fontId="0" fillId="4" borderId="31" xfId="0" applyFill="1" applyBorder="1" applyAlignment="1">
      <alignment vertical="center" wrapText="1"/>
    </xf>
    <xf numFmtId="3" fontId="3" fillId="4" borderId="1" xfId="0" applyNumberFormat="1" applyFont="1" applyFill="1" applyBorder="1" applyAlignment="1">
      <alignment horizontal="center" vertical="center"/>
    </xf>
    <xf numFmtId="3" fontId="0" fillId="4" borderId="29" xfId="0" applyNumberFormat="1" applyFill="1" applyBorder="1" applyAlignment="1">
      <alignment horizontal="center" vertical="center"/>
    </xf>
    <xf numFmtId="3" fontId="3" fillId="14" borderId="1" xfId="0" applyNumberFormat="1" applyFont="1" applyFill="1" applyBorder="1" applyAlignment="1">
      <alignment horizontal="center" vertical="center"/>
    </xf>
    <xf numFmtId="3" fontId="0" fillId="14" borderId="29" xfId="0" applyNumberFormat="1" applyFill="1" applyBorder="1" applyAlignment="1">
      <alignment horizontal="center" vertical="center"/>
    </xf>
    <xf numFmtId="0" fontId="2" fillId="7" borderId="58" xfId="0" applyFont="1" applyFill="1" applyBorder="1" applyAlignment="1">
      <alignment vertical="center" wrapText="1"/>
    </xf>
    <xf numFmtId="0" fontId="0" fillId="7" borderId="89" xfId="0" applyFill="1" applyBorder="1" applyAlignment="1">
      <alignment vertical="center"/>
    </xf>
    <xf numFmtId="0" fontId="0" fillId="7" borderId="60" xfId="0" applyFill="1" applyBorder="1" applyAlignment="1">
      <alignment vertical="center"/>
    </xf>
    <xf numFmtId="0" fontId="3" fillId="0" borderId="37" xfId="0" applyFont="1" applyBorder="1" applyAlignment="1">
      <alignment vertical="center"/>
    </xf>
    <xf numFmtId="0" fontId="0" fillId="6" borderId="37" xfId="0" applyFill="1" applyBorder="1" applyAlignment="1">
      <alignment vertical="center" wrapText="1"/>
    </xf>
    <xf numFmtId="0" fontId="0" fillId="6" borderId="38" xfId="0" applyFill="1" applyBorder="1" applyAlignment="1">
      <alignment vertical="center"/>
    </xf>
    <xf numFmtId="0" fontId="2" fillId="6" borderId="1" xfId="0" applyFont="1" applyFill="1" applyBorder="1" applyAlignment="1">
      <alignment vertical="center" textRotation="90" wrapText="1"/>
    </xf>
    <xf numFmtId="0" fontId="0" fillId="6" borderId="5" xfId="0" applyFill="1" applyBorder="1" applyAlignment="1">
      <alignment vertical="center" textRotation="90" wrapText="1"/>
    </xf>
    <xf numFmtId="0" fontId="0" fillId="6" borderId="79" xfId="0" applyFill="1" applyBorder="1" applyAlignment="1">
      <alignment vertical="center" textRotation="90" wrapText="1"/>
    </xf>
    <xf numFmtId="0" fontId="0" fillId="0" borderId="2" xfId="0" applyBorder="1" applyAlignment="1">
      <alignment vertical="center" wrapText="1"/>
    </xf>
    <xf numFmtId="0" fontId="2" fillId="6" borderId="61" xfId="0" applyFont="1" applyFill="1" applyBorder="1" applyAlignment="1">
      <alignment vertical="center" wrapText="1"/>
    </xf>
    <xf numFmtId="0" fontId="2" fillId="6" borderId="61" xfId="0" applyFont="1" applyFill="1" applyBorder="1" applyAlignment="1">
      <alignment vertical="center"/>
    </xf>
    <xf numFmtId="0" fontId="3" fillId="0" borderId="37" xfId="0" applyFont="1" applyBorder="1" applyAlignment="1">
      <alignment horizontal="center" vertical="center" wrapText="1"/>
    </xf>
    <xf numFmtId="0" fontId="0" fillId="0" borderId="38" xfId="0" applyBorder="1" applyAlignment="1">
      <alignment horizontal="center" vertical="center" wrapText="1"/>
    </xf>
    <xf numFmtId="0" fontId="0" fillId="0" borderId="38" xfId="0" applyBorder="1" applyAlignment="1">
      <alignment vertical="center" wrapText="1"/>
    </xf>
    <xf numFmtId="0" fontId="3"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3" fillId="0" borderId="61" xfId="0" applyFont="1" applyBorder="1" applyAlignment="1">
      <alignment horizontal="center" vertical="center"/>
    </xf>
    <xf numFmtId="0" fontId="0" fillId="0" borderId="39" xfId="0"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7" borderId="1" xfId="0" applyFont="1" applyFill="1" applyBorder="1" applyAlignment="1">
      <alignment horizontal="center" vertical="center" wrapText="1"/>
    </xf>
    <xf numFmtId="0" fontId="0" fillId="7" borderId="2" xfId="0" applyFill="1" applyBorder="1" applyAlignment="1">
      <alignment horizontal="center" vertical="center" wrapText="1"/>
    </xf>
    <xf numFmtId="0" fontId="0" fillId="7" borderId="3" xfId="0" applyFill="1" applyBorder="1" applyAlignment="1">
      <alignment vertical="center" wrapText="1"/>
    </xf>
    <xf numFmtId="0" fontId="0" fillId="7" borderId="29" xfId="0" applyFill="1" applyBorder="1" applyAlignment="1">
      <alignment vertical="center" wrapText="1"/>
    </xf>
    <xf numFmtId="0" fontId="0" fillId="7" borderId="34" xfId="0" applyFill="1" applyBorder="1" applyAlignment="1">
      <alignment vertical="center" wrapText="1"/>
    </xf>
    <xf numFmtId="0" fontId="0" fillId="7" borderId="35" xfId="0" applyFill="1" applyBorder="1" applyAlignment="1">
      <alignment vertical="center" wrapText="1"/>
    </xf>
    <xf numFmtId="0" fontId="3" fillId="0" borderId="37" xfId="0" applyFont="1" applyBorder="1" applyAlignment="1">
      <alignment horizontal="right" vertical="center"/>
    </xf>
    <xf numFmtId="0" fontId="0" fillId="0" borderId="38" xfId="0" applyBorder="1" applyAlignment="1">
      <alignment horizontal="right" vertical="center"/>
    </xf>
    <xf numFmtId="0" fontId="0" fillId="0" borderId="39" xfId="0" applyBorder="1" applyAlignment="1">
      <alignment horizontal="right" vertical="center"/>
    </xf>
    <xf numFmtId="9" fontId="20" fillId="14" borderId="4" xfId="0" applyNumberFormat="1" applyFont="1" applyFill="1" applyBorder="1" applyAlignment="1">
      <alignment horizontal="center" vertical="center"/>
    </xf>
    <xf numFmtId="0" fontId="14" fillId="14" borderId="36" xfId="0" applyFont="1" applyFill="1" applyBorder="1" applyAlignment="1">
      <alignment horizontal="center" vertical="center"/>
    </xf>
    <xf numFmtId="3" fontId="20" fillId="4" borderId="1" xfId="0" applyNumberFormat="1" applyFont="1" applyFill="1" applyBorder="1" applyAlignment="1">
      <alignment horizontal="center" vertical="center"/>
    </xf>
    <xf numFmtId="3" fontId="14" fillId="4" borderId="29" xfId="0" applyNumberFormat="1" applyFont="1" applyFill="1" applyBorder="1" applyAlignment="1">
      <alignment horizontal="center" vertical="center"/>
    </xf>
    <xf numFmtId="9" fontId="2" fillId="13" borderId="61" xfId="0" applyNumberFormat="1" applyFont="1" applyFill="1" applyBorder="1" applyAlignment="1">
      <alignment horizontal="center" vertical="center" wrapText="1"/>
    </xf>
    <xf numFmtId="3" fontId="2" fillId="4" borderId="61" xfId="0" applyNumberFormat="1" applyFont="1" applyFill="1" applyBorder="1" applyAlignment="1">
      <alignment horizontal="center" vertical="center" wrapText="1"/>
    </xf>
    <xf numFmtId="3" fontId="2" fillId="7" borderId="61" xfId="0" applyNumberFormat="1" applyFont="1" applyFill="1" applyBorder="1" applyAlignment="1" applyProtection="1">
      <alignment horizontal="center" vertical="center" wrapText="1"/>
      <protection locked="0"/>
    </xf>
    <xf numFmtId="3" fontId="4" fillId="4" borderId="37" xfId="0" applyNumberFormat="1" applyFont="1" applyFill="1" applyBorder="1" applyAlignment="1">
      <alignment horizontal="center" vertical="center"/>
    </xf>
    <xf numFmtId="3" fontId="4" fillId="4" borderId="38" xfId="0" applyNumberFormat="1" applyFont="1" applyFill="1" applyBorder="1" applyAlignment="1">
      <alignment horizontal="center" vertical="center"/>
    </xf>
    <xf numFmtId="3" fontId="4" fillId="4" borderId="39" xfId="0" applyNumberFormat="1" applyFont="1" applyFill="1" applyBorder="1" applyAlignment="1">
      <alignment horizontal="center" vertical="center"/>
    </xf>
    <xf numFmtId="0" fontId="2" fillId="14" borderId="58" xfId="0" applyFont="1" applyFill="1" applyBorder="1" applyAlignment="1">
      <alignment vertical="center" wrapText="1"/>
    </xf>
    <xf numFmtId="0" fontId="0" fillId="14" borderId="89" xfId="0" applyFill="1" applyBorder="1" applyAlignment="1">
      <alignment vertical="center"/>
    </xf>
    <xf numFmtId="0" fontId="0" fillId="14" borderId="60" xfId="0" applyFill="1" applyBorder="1" applyAlignment="1">
      <alignment vertical="center"/>
    </xf>
    <xf numFmtId="3" fontId="4" fillId="14" borderId="37" xfId="0" applyNumberFormat="1" applyFont="1" applyFill="1" applyBorder="1" applyAlignment="1">
      <alignment horizontal="center" vertical="center"/>
    </xf>
    <xf numFmtId="3" fontId="4" fillId="14" borderId="38" xfId="0" applyNumberFormat="1" applyFont="1" applyFill="1" applyBorder="1" applyAlignment="1">
      <alignment horizontal="center" vertical="center"/>
    </xf>
    <xf numFmtId="3" fontId="4" fillId="14" borderId="39" xfId="0" applyNumberFormat="1" applyFont="1" applyFill="1" applyBorder="1" applyAlignment="1">
      <alignment horizontal="center" vertical="center"/>
    </xf>
    <xf numFmtId="0" fontId="6" fillId="0" borderId="23" xfId="0" applyFont="1" applyBorder="1" applyAlignment="1">
      <alignment vertical="center"/>
    </xf>
    <xf numFmtId="0" fontId="0" fillId="0" borderId="23" xfId="0" applyBorder="1" applyAlignment="1">
      <alignment vertical="center"/>
    </xf>
    <xf numFmtId="3" fontId="2" fillId="4" borderId="21" xfId="0" applyNumberFormat="1" applyFont="1" applyFill="1" applyBorder="1" applyAlignment="1">
      <alignment vertical="center" wrapText="1"/>
    </xf>
    <xf numFmtId="3" fontId="2" fillId="4" borderId="30" xfId="0" applyNumberFormat="1" applyFont="1" applyFill="1" applyBorder="1" applyAlignment="1">
      <alignment vertical="center" wrapText="1"/>
    </xf>
    <xf numFmtId="3" fontId="2" fillId="4" borderId="31" xfId="0" applyNumberFormat="1" applyFont="1" applyFill="1" applyBorder="1" applyAlignment="1">
      <alignment vertical="center" wrapText="1"/>
    </xf>
    <xf numFmtId="3" fontId="2" fillId="4" borderId="4" xfId="0" applyNumberFormat="1" applyFont="1" applyFill="1" applyBorder="1" applyAlignment="1">
      <alignment horizontal="center" vertical="center" wrapText="1"/>
    </xf>
    <xf numFmtId="3" fontId="0" fillId="4" borderId="36" xfId="0" applyNumberFormat="1" applyFill="1" applyBorder="1" applyAlignment="1">
      <alignment horizontal="center" vertical="center" wrapText="1"/>
    </xf>
    <xf numFmtId="3" fontId="2" fillId="14" borderId="4" xfId="0" applyNumberFormat="1" applyFont="1" applyFill="1" applyBorder="1" applyAlignment="1">
      <alignment horizontal="center" vertical="center"/>
    </xf>
    <xf numFmtId="3" fontId="0" fillId="14" borderId="36" xfId="0" applyNumberFormat="1" applyFill="1" applyBorder="1" applyAlignment="1">
      <alignment horizontal="center" vertical="center"/>
    </xf>
    <xf numFmtId="9" fontId="3" fillId="14" borderId="4" xfId="0" applyNumberFormat="1" applyFont="1" applyFill="1" applyBorder="1" applyAlignment="1">
      <alignment horizontal="center" vertical="center"/>
    </xf>
    <xf numFmtId="9" fontId="0" fillId="14" borderId="36" xfId="0" applyNumberFormat="1" applyFill="1" applyBorder="1" applyAlignment="1">
      <alignment horizontal="center" vertical="center"/>
    </xf>
    <xf numFmtId="3" fontId="2" fillId="7" borderId="90" xfId="0" applyNumberFormat="1" applyFont="1" applyFill="1" applyBorder="1" applyAlignment="1">
      <alignment vertical="center" wrapText="1"/>
    </xf>
    <xf numFmtId="3" fontId="2" fillId="7" borderId="89" xfId="0" applyNumberFormat="1" applyFont="1" applyFill="1" applyBorder="1" applyAlignment="1">
      <alignment vertical="center" wrapText="1"/>
    </xf>
    <xf numFmtId="3" fontId="2" fillId="7" borderId="60" xfId="0" applyNumberFormat="1" applyFont="1" applyFill="1" applyBorder="1" applyAlignment="1">
      <alignment vertical="center" wrapText="1"/>
    </xf>
    <xf numFmtId="0" fontId="2" fillId="0" borderId="37" xfId="0" applyFont="1" applyBorder="1" applyAlignment="1">
      <alignment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5" xfId="0" applyBorder="1" applyAlignment="1">
      <alignment horizontal="center" vertical="center" wrapText="1"/>
    </xf>
    <xf numFmtId="0" fontId="0" fillId="0" borderId="29" xfId="0" applyBorder="1" applyAlignment="1">
      <alignment horizontal="center" vertical="center" wrapText="1"/>
    </xf>
    <xf numFmtId="0" fontId="6" fillId="0" borderId="37" xfId="0" applyFont="1" applyBorder="1" applyAlignment="1">
      <alignment vertical="center"/>
    </xf>
    <xf numFmtId="0" fontId="0" fillId="0" borderId="37" xfId="0" applyBorder="1" applyAlignment="1">
      <alignment vertical="center"/>
    </xf>
    <xf numFmtId="0" fontId="3" fillId="7" borderId="1" xfId="0" applyFont="1" applyFill="1" applyBorder="1" applyAlignment="1">
      <alignment vertical="center" wrapText="1"/>
    </xf>
    <xf numFmtId="0" fontId="5" fillId="0" borderId="29" xfId="0" applyFont="1" applyBorder="1" applyAlignment="1">
      <alignment vertical="center" wrapText="1"/>
    </xf>
    <xf numFmtId="0" fontId="6" fillId="7" borderId="37" xfId="0" applyFont="1" applyFill="1" applyBorder="1" applyAlignment="1">
      <alignment horizontal="left" vertical="center" wrapText="1"/>
    </xf>
    <xf numFmtId="0" fontId="6" fillId="7" borderId="38" xfId="0" applyFont="1" applyFill="1" applyBorder="1" applyAlignment="1">
      <alignment horizontal="left" vertical="center" wrapText="1"/>
    </xf>
    <xf numFmtId="0" fontId="0" fillId="7" borderId="38" xfId="0" applyFill="1" applyBorder="1" applyAlignment="1">
      <alignment horizontal="left" vertical="center" wrapText="1"/>
    </xf>
    <xf numFmtId="0" fontId="0" fillId="7" borderId="39" xfId="0" applyFill="1" applyBorder="1" applyAlignment="1">
      <alignment horizontal="left" vertical="center" wrapText="1"/>
    </xf>
    <xf numFmtId="0" fontId="6" fillId="7" borderId="37" xfId="0" applyFont="1" applyFill="1" applyBorder="1" applyAlignment="1">
      <alignment vertical="center" wrapText="1"/>
    </xf>
    <xf numFmtId="0" fontId="6" fillId="7" borderId="38" xfId="0" applyFont="1" applyFill="1" applyBorder="1" applyAlignment="1">
      <alignment vertical="center" wrapText="1"/>
    </xf>
    <xf numFmtId="0" fontId="0" fillId="7" borderId="38" xfId="0" applyFill="1" applyBorder="1" applyAlignment="1">
      <alignment vertical="center" wrapText="1"/>
    </xf>
    <xf numFmtId="0" fontId="0" fillId="7" borderId="39" xfId="0" applyFill="1" applyBorder="1" applyAlignment="1">
      <alignment vertical="center" wrapText="1"/>
    </xf>
    <xf numFmtId="0" fontId="2" fillId="0" borderId="37" xfId="0" applyFont="1" applyBorder="1" applyAlignment="1">
      <alignment horizontal="center" vertical="center"/>
    </xf>
    <xf numFmtId="0" fontId="0" fillId="0" borderId="38" xfId="0" applyBorder="1" applyAlignment="1">
      <alignment horizontal="center" vertical="center"/>
    </xf>
    <xf numFmtId="0" fontId="6" fillId="7" borderId="39" xfId="0" applyFont="1" applyFill="1" applyBorder="1" applyAlignment="1">
      <alignment vertical="center" wrapText="1"/>
    </xf>
    <xf numFmtId="0" fontId="2" fillId="14" borderId="37" xfId="0" applyFont="1" applyFill="1" applyBorder="1" applyAlignment="1">
      <alignment vertical="center" wrapText="1"/>
    </xf>
    <xf numFmtId="0" fontId="0" fillId="14" borderId="39" xfId="0" applyFill="1" applyBorder="1" applyAlignment="1">
      <alignment vertical="center" wrapText="1"/>
    </xf>
    <xf numFmtId="0" fontId="0" fillId="7" borderId="62" xfId="0" applyFill="1" applyBorder="1" applyAlignment="1">
      <alignment vertical="center" wrapText="1"/>
    </xf>
    <xf numFmtId="0" fontId="0" fillId="7" borderId="22" xfId="0" applyFill="1" applyBorder="1" applyAlignment="1">
      <alignment vertical="center" wrapText="1"/>
    </xf>
    <xf numFmtId="0" fontId="0" fillId="7" borderId="2" xfId="0" applyFill="1" applyBorder="1" applyAlignment="1">
      <alignment vertical="center" wrapText="1"/>
    </xf>
    <xf numFmtId="0" fontId="2" fillId="7" borderId="11" xfId="0" applyFont="1" applyFill="1" applyBorder="1" applyAlignment="1">
      <alignment vertical="center" wrapText="1"/>
    </xf>
    <xf numFmtId="0" fontId="0" fillId="7" borderId="0" xfId="0" applyFill="1" applyAlignment="1">
      <alignment vertical="center" wrapText="1"/>
    </xf>
    <xf numFmtId="0" fontId="0" fillId="0" borderId="6" xfId="0" applyBorder="1" applyAlignment="1">
      <alignment vertical="center" wrapText="1"/>
    </xf>
    <xf numFmtId="0" fontId="0" fillId="4" borderId="22" xfId="0" applyFill="1" applyBorder="1" applyAlignment="1">
      <alignment vertical="center" wrapText="1"/>
    </xf>
    <xf numFmtId="0" fontId="0" fillId="4" borderId="2" xfId="0" applyFill="1" applyBorder="1" applyAlignment="1">
      <alignment vertical="center" wrapText="1"/>
    </xf>
    <xf numFmtId="0" fontId="0" fillId="4" borderId="3" xfId="0" applyFill="1" applyBorder="1" applyAlignment="1">
      <alignment vertical="center" wrapText="1"/>
    </xf>
    <xf numFmtId="0" fontId="2" fillId="4" borderId="48" xfId="0" applyFont="1" applyFill="1" applyBorder="1" applyAlignment="1">
      <alignment horizontal="center" vertical="center"/>
    </xf>
    <xf numFmtId="0" fontId="2" fillId="4" borderId="49" xfId="0" applyFont="1" applyFill="1" applyBorder="1" applyAlignment="1">
      <alignment horizontal="center" vertical="center"/>
    </xf>
    <xf numFmtId="0" fontId="0" fillId="4" borderId="50" xfId="0" applyFill="1" applyBorder="1" applyAlignment="1">
      <alignment horizontal="center" vertical="center"/>
    </xf>
    <xf numFmtId="0" fontId="4" fillId="14" borderId="1" xfId="0" applyFont="1" applyFill="1" applyBorder="1" applyAlignment="1">
      <alignment vertical="center" wrapText="1"/>
    </xf>
    <xf numFmtId="0" fontId="27" fillId="14" borderId="2" xfId="0" applyFont="1" applyFill="1" applyBorder="1" applyAlignment="1">
      <alignment vertical="center" wrapText="1"/>
    </xf>
    <xf numFmtId="0" fontId="27" fillId="14" borderId="5" xfId="0" applyFont="1" applyFill="1" applyBorder="1" applyAlignment="1">
      <alignment vertical="center" wrapText="1"/>
    </xf>
    <xf numFmtId="0" fontId="27" fillId="14" borderId="0" xfId="0" applyFont="1" applyFill="1" applyAlignment="1">
      <alignment vertical="center" wrapText="1"/>
    </xf>
    <xf numFmtId="0" fontId="27" fillId="14" borderId="29" xfId="0" applyFont="1" applyFill="1" applyBorder="1" applyAlignment="1">
      <alignment vertical="center" wrapText="1"/>
    </xf>
    <xf numFmtId="0" fontId="27" fillId="14" borderId="34" xfId="0" applyFont="1" applyFill="1" applyBorder="1" applyAlignment="1">
      <alignment vertical="center" wrapText="1"/>
    </xf>
    <xf numFmtId="0" fontId="2" fillId="4" borderId="21" xfId="0" applyFont="1" applyFill="1" applyBorder="1" applyAlignment="1">
      <alignment horizontal="center" vertical="center" wrapText="1"/>
    </xf>
    <xf numFmtId="0" fontId="0" fillId="4" borderId="30" xfId="0" applyFill="1" applyBorder="1" applyAlignment="1">
      <alignment horizontal="center" vertical="center" wrapText="1"/>
    </xf>
    <xf numFmtId="0" fontId="0" fillId="4" borderId="31" xfId="0" applyFill="1" applyBorder="1" applyAlignment="1">
      <alignment horizontal="center" vertical="center" wrapText="1"/>
    </xf>
    <xf numFmtId="0" fontId="2" fillId="7" borderId="4"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36"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xf numFmtId="0" fontId="0" fillId="0" borderId="2" xfId="0" applyBorder="1" applyAlignment="1"/>
    <xf numFmtId="9" fontId="16" fillId="4" borderId="37" xfId="0" applyNumberFormat="1" applyFont="1" applyFill="1" applyBorder="1" applyAlignment="1">
      <alignment horizontal="center" vertical="center" wrapText="1"/>
    </xf>
    <xf numFmtId="9" fontId="14" fillId="4" borderId="39" xfId="0" applyNumberFormat="1" applyFont="1" applyFill="1" applyBorder="1" applyAlignment="1">
      <alignment horizontal="center" vertical="center" wrapText="1"/>
    </xf>
    <xf numFmtId="0" fontId="0" fillId="14" borderId="38" xfId="0" applyFill="1" applyBorder="1" applyAlignment="1">
      <alignment wrapText="1"/>
    </xf>
    <xf numFmtId="0" fontId="0" fillId="7" borderId="36" xfId="0" applyFill="1" applyBorder="1" applyAlignment="1">
      <alignment horizontal="center" vertical="center" wrapText="1"/>
    </xf>
    <xf numFmtId="3" fontId="2" fillId="6" borderId="37" xfId="0" applyNumberFormat="1" applyFont="1" applyFill="1" applyBorder="1" applyAlignment="1">
      <alignment horizontal="center" vertical="center"/>
    </xf>
    <xf numFmtId="3" fontId="0" fillId="6" borderId="39" xfId="0" applyNumberFormat="1" applyFill="1" applyBorder="1" applyAlignment="1">
      <alignment horizontal="center" vertical="center"/>
    </xf>
    <xf numFmtId="0" fontId="2" fillId="0" borderId="29" xfId="0" applyFont="1" applyBorder="1" applyAlignment="1">
      <alignment horizontal="center" vertical="center" wrapText="1"/>
    </xf>
    <xf numFmtId="0" fontId="2" fillId="7" borderId="13" xfId="0" applyFont="1" applyFill="1" applyBorder="1" applyAlignment="1">
      <alignment horizontal="center" vertical="center" wrapText="1"/>
    </xf>
    <xf numFmtId="0" fontId="0" fillId="7" borderId="15" xfId="0" applyFill="1" applyBorder="1" applyAlignment="1">
      <alignment horizontal="center" vertical="center" wrapText="1"/>
    </xf>
    <xf numFmtId="0" fontId="2" fillId="7" borderId="19" xfId="0" applyFont="1" applyFill="1" applyBorder="1" applyAlignment="1">
      <alignment horizontal="center" vertical="center" wrapText="1"/>
    </xf>
    <xf numFmtId="0" fontId="0" fillId="6" borderId="38" xfId="0" applyFill="1" applyBorder="1" applyAlignment="1">
      <alignment wrapText="1"/>
    </xf>
    <xf numFmtId="9" fontId="2" fillId="6" borderId="37" xfId="0" applyNumberFormat="1" applyFont="1" applyFill="1" applyBorder="1" applyAlignment="1">
      <alignment horizontal="center" vertical="center"/>
    </xf>
    <xf numFmtId="9" fontId="0" fillId="6" borderId="39" xfId="0" applyNumberFormat="1" applyFill="1" applyBorder="1" applyAlignment="1">
      <alignment horizontal="center" vertical="center"/>
    </xf>
    <xf numFmtId="9" fontId="2" fillId="7" borderId="0" xfId="1" applyFont="1" applyFill="1" applyBorder="1" applyAlignment="1" applyProtection="1">
      <alignment horizontal="center" vertical="center"/>
    </xf>
    <xf numFmtId="9" fontId="0" fillId="7" borderId="0" xfId="1" applyFont="1" applyFill="1" applyBorder="1" applyAlignment="1" applyProtection="1">
      <alignment horizontal="center" vertical="center"/>
    </xf>
    <xf numFmtId="9" fontId="2" fillId="7" borderId="2" xfId="1" applyFont="1" applyFill="1" applyBorder="1" applyAlignment="1" applyProtection="1">
      <alignment horizontal="center" vertical="center"/>
    </xf>
    <xf numFmtId="9" fontId="0" fillId="7" borderId="2" xfId="1" applyFont="1" applyFill="1" applyBorder="1" applyAlignment="1" applyProtection="1">
      <alignment horizontal="center" vertical="center"/>
    </xf>
    <xf numFmtId="3" fontId="16" fillId="4" borderId="37" xfId="0" applyNumberFormat="1" applyFont="1" applyFill="1" applyBorder="1" applyAlignment="1">
      <alignment horizontal="center" vertical="center"/>
    </xf>
    <xf numFmtId="3" fontId="16" fillId="4" borderId="39" xfId="0" applyNumberFormat="1" applyFont="1" applyFill="1" applyBorder="1" applyAlignment="1">
      <alignment horizontal="center" vertical="center"/>
    </xf>
    <xf numFmtId="3" fontId="2" fillId="14" borderId="37" xfId="0" applyNumberFormat="1" applyFont="1" applyFill="1" applyBorder="1" applyAlignment="1">
      <alignment horizontal="center" vertical="center"/>
    </xf>
    <xf numFmtId="0" fontId="0" fillId="14" borderId="39" xfId="0" applyFill="1" applyBorder="1" applyAlignment="1">
      <alignment horizontal="center" vertical="center"/>
    </xf>
    <xf numFmtId="3" fontId="2" fillId="4" borderId="37" xfId="0" applyNumberFormat="1" applyFont="1" applyFill="1" applyBorder="1" applyAlignment="1">
      <alignment horizontal="center" vertical="center"/>
    </xf>
    <xf numFmtId="0" fontId="0" fillId="4" borderId="39" xfId="0" applyFill="1" applyBorder="1" applyAlignment="1">
      <alignment horizontal="center" vertical="center"/>
    </xf>
    <xf numFmtId="9" fontId="2" fillId="14" borderId="37" xfId="0" applyNumberFormat="1" applyFont="1" applyFill="1" applyBorder="1" applyAlignment="1">
      <alignment horizontal="center" vertical="center"/>
    </xf>
    <xf numFmtId="9" fontId="0" fillId="14" borderId="39" xfId="0" applyNumberFormat="1" applyFill="1" applyBorder="1" applyAlignment="1">
      <alignment horizontal="center" vertical="center"/>
    </xf>
    <xf numFmtId="0" fontId="4" fillId="14" borderId="37" xfId="0" applyFont="1" applyFill="1" applyBorder="1" applyAlignment="1">
      <alignment horizontal="center"/>
    </xf>
    <xf numFmtId="0" fontId="4" fillId="14" borderId="38" xfId="0" applyFont="1" applyFill="1" applyBorder="1" applyAlignment="1">
      <alignment horizontal="center"/>
    </xf>
    <xf numFmtId="0" fontId="4" fillId="14" borderId="39" xfId="0" applyFont="1" applyFill="1" applyBorder="1" applyAlignment="1">
      <alignment horizontal="center"/>
    </xf>
    <xf numFmtId="0" fontId="4" fillId="6" borderId="37" xfId="0" applyFont="1" applyFill="1" applyBorder="1" applyAlignment="1">
      <alignment horizontal="center"/>
    </xf>
    <xf numFmtId="0" fontId="4" fillId="6" borderId="38" xfId="0" applyFont="1" applyFill="1" applyBorder="1" applyAlignment="1">
      <alignment horizontal="center"/>
    </xf>
    <xf numFmtId="0" fontId="4" fillId="6" borderId="39" xfId="0" applyFont="1" applyFill="1" applyBorder="1" applyAlignment="1">
      <alignment horizontal="center"/>
    </xf>
    <xf numFmtId="0" fontId="7" fillId="8" borderId="37" xfId="0" applyFont="1" applyFill="1" applyBorder="1" applyAlignment="1">
      <alignment horizontal="center" wrapText="1"/>
    </xf>
    <xf numFmtId="0" fontId="0" fillId="0" borderId="38" xfId="0" applyBorder="1" applyAlignment="1">
      <alignment horizontal="center" wrapText="1"/>
    </xf>
    <xf numFmtId="0" fontId="0" fillId="0" borderId="39" xfId="0" applyBorder="1" applyAlignment="1">
      <alignment horizontal="center" wrapText="1"/>
    </xf>
    <xf numFmtId="0" fontId="2" fillId="7" borderId="1" xfId="0" applyFont="1" applyFill="1" applyBorder="1" applyAlignment="1">
      <alignment vertical="center" wrapText="1"/>
    </xf>
    <xf numFmtId="0" fontId="0" fillId="7" borderId="5" xfId="0" applyFill="1" applyBorder="1" applyAlignment="1">
      <alignment vertical="center" wrapText="1"/>
    </xf>
    <xf numFmtId="0" fontId="2" fillId="8" borderId="21" xfId="0" applyFont="1" applyFill="1" applyBorder="1" applyAlignment="1">
      <alignment horizontal="center" vertical="center" wrapText="1"/>
    </xf>
    <xf numFmtId="0" fontId="0" fillId="8" borderId="30" xfId="0" applyFill="1" applyBorder="1" applyAlignment="1">
      <alignment horizontal="center" vertical="center" wrapText="1"/>
    </xf>
    <xf numFmtId="0" fontId="0" fillId="0" borderId="31" xfId="0" applyBorder="1" applyAlignment="1">
      <alignment horizontal="center" vertical="center" wrapText="1"/>
    </xf>
    <xf numFmtId="0" fontId="2" fillId="21" borderId="30" xfId="0" applyFont="1" applyFill="1" applyBorder="1" applyAlignment="1">
      <alignment horizontal="center" vertical="center"/>
    </xf>
    <xf numFmtId="0" fontId="2" fillId="21" borderId="43" xfId="0" applyFont="1" applyFill="1" applyBorder="1" applyAlignment="1">
      <alignment horizontal="center" vertical="center"/>
    </xf>
    <xf numFmtId="0" fontId="2" fillId="22" borderId="44" xfId="0" applyFont="1" applyFill="1" applyBorder="1" applyAlignment="1">
      <alignment horizontal="center" vertical="center"/>
    </xf>
    <xf numFmtId="0" fontId="0" fillId="22" borderId="43" xfId="0" applyFill="1" applyBorder="1" applyAlignment="1">
      <alignment horizontal="center" vertical="center"/>
    </xf>
    <xf numFmtId="0" fontId="2" fillId="13" borderId="21" xfId="0" applyFont="1" applyFill="1" applyBorder="1" applyAlignment="1">
      <alignment horizontal="center" vertical="center"/>
    </xf>
    <xf numFmtId="0" fontId="2" fillId="13" borderId="43" xfId="0" applyFont="1" applyFill="1" applyBorder="1" applyAlignment="1">
      <alignment horizontal="center" vertical="center"/>
    </xf>
    <xf numFmtId="0" fontId="2" fillId="23" borderId="21" xfId="0" applyFont="1" applyFill="1" applyBorder="1" applyAlignment="1">
      <alignment horizontal="center" vertical="center"/>
    </xf>
    <xf numFmtId="0" fontId="2" fillId="23" borderId="43" xfId="0" applyFont="1" applyFill="1" applyBorder="1" applyAlignment="1">
      <alignment horizontal="center" vertical="center"/>
    </xf>
    <xf numFmtId="0" fontId="2" fillId="23" borderId="48" xfId="0" applyFont="1" applyFill="1" applyBorder="1" applyAlignment="1">
      <alignment horizontal="center" vertical="center"/>
    </xf>
    <xf numFmtId="0" fontId="2" fillId="23" borderId="41" xfId="0" applyFont="1" applyFill="1" applyBorder="1" applyAlignment="1">
      <alignment horizontal="center" vertical="center"/>
    </xf>
    <xf numFmtId="0" fontId="2" fillId="24" borderId="51" xfId="0" applyFont="1" applyFill="1" applyBorder="1" applyAlignment="1">
      <alignment horizontal="center" vertical="center"/>
    </xf>
    <xf numFmtId="0" fontId="2" fillId="24" borderId="8" xfId="0" applyFont="1" applyFill="1" applyBorder="1" applyAlignment="1">
      <alignment horizontal="center" vertical="center"/>
    </xf>
    <xf numFmtId="0" fontId="2" fillId="25" borderId="51" xfId="0" applyFont="1" applyFill="1" applyBorder="1" applyAlignment="1">
      <alignment horizontal="center" vertical="center"/>
    </xf>
    <xf numFmtId="0" fontId="2" fillId="25" borderId="8" xfId="0" applyFont="1" applyFill="1" applyBorder="1" applyAlignment="1">
      <alignment horizontal="center" vertical="center"/>
    </xf>
    <xf numFmtId="0" fontId="2" fillId="14" borderId="51" xfId="0" applyFont="1" applyFill="1" applyBorder="1" applyAlignment="1">
      <alignment horizontal="center" vertical="center"/>
    </xf>
    <xf numFmtId="0" fontId="2" fillId="14" borderId="40" xfId="0" applyFont="1" applyFill="1" applyBorder="1" applyAlignment="1">
      <alignment horizontal="center" vertical="center"/>
    </xf>
    <xf numFmtId="0" fontId="2" fillId="26" borderId="51" xfId="0" applyFont="1" applyFill="1" applyBorder="1" applyAlignment="1">
      <alignment horizontal="center" vertical="center"/>
    </xf>
    <xf numFmtId="0" fontId="2" fillId="26" borderId="52" xfId="0" applyFont="1" applyFill="1" applyBorder="1" applyAlignment="1">
      <alignment horizontal="center" vertical="center"/>
    </xf>
    <xf numFmtId="0" fontId="2" fillId="24" borderId="45" xfId="0" applyFont="1" applyFill="1" applyBorder="1" applyAlignment="1">
      <alignment horizontal="center" vertical="center"/>
    </xf>
    <xf numFmtId="0" fontId="2" fillId="24" borderId="46" xfId="0" applyFont="1" applyFill="1" applyBorder="1" applyAlignment="1">
      <alignment horizontal="center" vertical="center"/>
    </xf>
    <xf numFmtId="0" fontId="2" fillId="25" borderId="45" xfId="0" applyFont="1" applyFill="1" applyBorder="1" applyAlignment="1">
      <alignment horizontal="center" vertical="center"/>
    </xf>
    <xf numFmtId="0" fontId="2" fillId="25" borderId="46" xfId="0" applyFont="1" applyFill="1" applyBorder="1" applyAlignment="1">
      <alignment horizontal="center" vertical="center"/>
    </xf>
    <xf numFmtId="0" fontId="2" fillId="14" borderId="45" xfId="0" applyFont="1" applyFill="1" applyBorder="1" applyAlignment="1">
      <alignment horizontal="center" vertical="center"/>
    </xf>
    <xf numFmtId="0" fontId="2" fillId="14" borderId="44" xfId="0" applyFont="1" applyFill="1" applyBorder="1" applyAlignment="1">
      <alignment horizontal="center" vertical="center"/>
    </xf>
    <xf numFmtId="0" fontId="2" fillId="26" borderId="45" xfId="0" applyFont="1" applyFill="1" applyBorder="1" applyAlignment="1">
      <alignment horizontal="center" vertical="center"/>
    </xf>
    <xf numFmtId="0" fontId="2" fillId="26" borderId="47" xfId="0" applyFont="1" applyFill="1" applyBorder="1" applyAlignment="1">
      <alignment horizontal="center" vertical="center"/>
    </xf>
    <xf numFmtId="0" fontId="2" fillId="8" borderId="48" xfId="0" applyFont="1" applyFill="1" applyBorder="1" applyAlignment="1">
      <alignment horizontal="center" vertical="center"/>
    </xf>
    <xf numFmtId="0" fontId="2" fillId="8" borderId="49" xfId="0" applyFont="1" applyFill="1" applyBorder="1" applyAlignment="1">
      <alignment horizontal="center" vertical="center"/>
    </xf>
    <xf numFmtId="0" fontId="0" fillId="0" borderId="50" xfId="0" applyBorder="1" applyAlignment="1">
      <alignment horizontal="center" vertical="center"/>
    </xf>
    <xf numFmtId="0" fontId="2" fillId="8" borderId="48" xfId="0" applyFont="1" applyFill="1" applyBorder="1" applyAlignment="1">
      <alignment horizontal="center" vertical="center" wrapText="1"/>
    </xf>
    <xf numFmtId="0" fontId="0" fillId="8" borderId="49" xfId="0" applyFill="1" applyBorder="1" applyAlignment="1">
      <alignment horizontal="center" vertical="center" wrapText="1"/>
    </xf>
    <xf numFmtId="0" fontId="2" fillId="21" borderId="49" xfId="0" applyFont="1" applyFill="1" applyBorder="1" applyAlignment="1">
      <alignment horizontal="center" vertical="center"/>
    </xf>
    <xf numFmtId="0" fontId="2" fillId="21" borderId="41" xfId="0" applyFont="1" applyFill="1" applyBorder="1" applyAlignment="1">
      <alignment horizontal="center" vertical="center"/>
    </xf>
    <xf numFmtId="0" fontId="2" fillId="22" borderId="48" xfId="0" applyFont="1" applyFill="1" applyBorder="1" applyAlignment="1">
      <alignment horizontal="center" vertical="center"/>
    </xf>
    <xf numFmtId="0" fontId="2" fillId="22" borderId="41" xfId="0" applyFont="1" applyFill="1" applyBorder="1" applyAlignment="1">
      <alignment horizontal="center" vertical="center"/>
    </xf>
    <xf numFmtId="0" fontId="2" fillId="13" borderId="48" xfId="0" applyFont="1" applyFill="1" applyBorder="1" applyAlignment="1">
      <alignment horizontal="center" vertical="center"/>
    </xf>
    <xf numFmtId="0" fontId="2" fillId="13" borderId="41" xfId="0" applyFont="1" applyFill="1" applyBorder="1" applyAlignment="1">
      <alignment horizontal="center" vertical="center"/>
    </xf>
    <xf numFmtId="0" fontId="0" fillId="6" borderId="39" xfId="0" applyFill="1" applyBorder="1" applyAlignment="1">
      <alignment vertical="center"/>
    </xf>
    <xf numFmtId="0" fontId="2" fillId="0" borderId="1" xfId="0" applyFont="1" applyBorder="1" applyAlignment="1">
      <alignment vertical="center" textRotation="90" wrapText="1"/>
    </xf>
    <xf numFmtId="0" fontId="0" fillId="0" borderId="5" xfId="0" applyBorder="1" applyAlignment="1">
      <alignment vertical="center" textRotation="90" wrapText="1"/>
    </xf>
    <xf numFmtId="0" fontId="0" fillId="0" borderId="79" xfId="0" applyBorder="1" applyAlignment="1">
      <alignment vertical="center" textRotation="90" wrapText="1"/>
    </xf>
    <xf numFmtId="0" fontId="2" fillId="7" borderId="44" xfId="0" applyFont="1" applyFill="1" applyBorder="1" applyAlignment="1">
      <alignment vertical="center" wrapText="1"/>
    </xf>
    <xf numFmtId="0" fontId="0" fillId="7" borderId="30" xfId="0" applyFill="1" applyBorder="1" applyAlignment="1">
      <alignment vertical="center" wrapText="1"/>
    </xf>
    <xf numFmtId="0" fontId="0" fillId="7" borderId="31" xfId="0" applyFill="1" applyBorder="1" applyAlignment="1">
      <alignment vertical="center" wrapText="1"/>
    </xf>
    <xf numFmtId="1" fontId="3" fillId="23" borderId="1" xfId="0" applyNumberFormat="1" applyFont="1" applyFill="1" applyBorder="1" applyAlignment="1">
      <alignment horizontal="center" vertical="center"/>
    </xf>
    <xf numFmtId="0" fontId="0" fillId="0" borderId="29" xfId="0" applyBorder="1" applyAlignment="1">
      <alignment horizontal="center" vertical="center"/>
    </xf>
    <xf numFmtId="1" fontId="3" fillId="4" borderId="1" xfId="0" applyNumberFormat="1" applyFont="1" applyFill="1" applyBorder="1" applyAlignment="1">
      <alignment horizontal="center" vertical="center"/>
    </xf>
    <xf numFmtId="0" fontId="0" fillId="4" borderId="29" xfId="0" applyFill="1" applyBorder="1" applyAlignment="1">
      <alignment horizontal="center" vertical="center"/>
    </xf>
    <xf numFmtId="0" fontId="3" fillId="23" borderId="1" xfId="0" applyFont="1" applyFill="1" applyBorder="1" applyAlignment="1">
      <alignment horizontal="center" vertical="center" wrapText="1"/>
    </xf>
    <xf numFmtId="0" fontId="0" fillId="0" borderId="3" xfId="0" applyBorder="1" applyAlignment="1">
      <alignment vertical="center" wrapText="1"/>
    </xf>
    <xf numFmtId="0" fontId="0" fillId="0" borderId="29"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3" fillId="4" borderId="1" xfId="0" applyFont="1" applyFill="1" applyBorder="1" applyAlignment="1">
      <alignment horizontal="center" vertical="center" wrapText="1"/>
    </xf>
    <xf numFmtId="9" fontId="28" fillId="7" borderId="4" xfId="0" applyNumberFormat="1" applyFont="1" applyFill="1" applyBorder="1" applyAlignment="1">
      <alignment horizontal="center" vertical="center"/>
    </xf>
    <xf numFmtId="0" fontId="10" fillId="0" borderId="36" xfId="0" applyFont="1" applyBorder="1" applyAlignment="1">
      <alignment horizontal="center" vertical="center"/>
    </xf>
    <xf numFmtId="1" fontId="20" fillId="23" borderId="1" xfId="0" applyNumberFormat="1" applyFont="1" applyFill="1" applyBorder="1" applyAlignment="1">
      <alignment horizontal="center" vertical="center"/>
    </xf>
    <xf numFmtId="0" fontId="14" fillId="0" borderId="29" xfId="0" applyFont="1" applyBorder="1" applyAlignment="1">
      <alignment horizontal="center" vertical="center"/>
    </xf>
    <xf numFmtId="9" fontId="2" fillId="23" borderId="61" xfId="0" applyNumberFormat="1" applyFont="1" applyFill="1" applyBorder="1" applyAlignment="1">
      <alignment vertical="center" wrapText="1"/>
    </xf>
    <xf numFmtId="0" fontId="0" fillId="7" borderId="61" xfId="0" applyFill="1" applyBorder="1" applyAlignment="1">
      <alignment vertical="center" wrapText="1"/>
    </xf>
    <xf numFmtId="0" fontId="0" fillId="0" borderId="61" xfId="0" applyBorder="1" applyAlignment="1">
      <alignment vertical="center" wrapText="1"/>
    </xf>
    <xf numFmtId="0" fontId="0" fillId="4" borderId="61" xfId="0" applyFill="1" applyBorder="1" applyAlignment="1">
      <alignment vertical="center" wrapText="1"/>
    </xf>
    <xf numFmtId="1" fontId="4" fillId="23" borderId="37" xfId="0" applyNumberFormat="1" applyFont="1" applyFill="1" applyBorder="1" applyAlignment="1">
      <alignment horizontal="center" vertical="center"/>
    </xf>
    <xf numFmtId="0" fontId="4" fillId="23" borderId="38" xfId="0" applyFont="1" applyFill="1" applyBorder="1" applyAlignment="1">
      <alignment horizontal="center" vertical="center"/>
    </xf>
    <xf numFmtId="0" fontId="4" fillId="23" borderId="39" xfId="0" applyFont="1" applyFill="1" applyBorder="1" applyAlignment="1">
      <alignment horizontal="center" vertical="center"/>
    </xf>
    <xf numFmtId="1" fontId="4" fillId="4" borderId="37" xfId="0" applyNumberFormat="1" applyFont="1" applyFill="1" applyBorder="1" applyAlignment="1">
      <alignment horizontal="center" vertical="center"/>
    </xf>
    <xf numFmtId="0" fontId="4" fillId="4" borderId="38" xfId="0" applyFont="1" applyFill="1" applyBorder="1" applyAlignment="1">
      <alignment horizontal="center" vertical="center"/>
    </xf>
    <xf numFmtId="0" fontId="4" fillId="4" borderId="39" xfId="0" applyFont="1" applyFill="1" applyBorder="1" applyAlignment="1">
      <alignment horizontal="center" vertical="center"/>
    </xf>
    <xf numFmtId="0" fontId="2" fillId="7" borderId="45" xfId="0" applyFont="1" applyFill="1" applyBorder="1" applyAlignment="1">
      <alignment vertical="center" wrapText="1"/>
    </xf>
    <xf numFmtId="0" fontId="2" fillId="7" borderId="46" xfId="0" applyFont="1" applyFill="1" applyBorder="1" applyAlignment="1">
      <alignment vertical="center" wrapText="1"/>
    </xf>
    <xf numFmtId="0" fontId="2" fillId="7" borderId="47" xfId="0" applyFont="1" applyFill="1" applyBorder="1" applyAlignment="1">
      <alignment vertical="center" wrapText="1"/>
    </xf>
    <xf numFmtId="1" fontId="2" fillId="8" borderId="4" xfId="0" applyNumberFormat="1" applyFont="1" applyFill="1" applyBorder="1" applyAlignment="1">
      <alignment horizontal="center" vertical="center" wrapText="1"/>
    </xf>
    <xf numFmtId="0" fontId="0" fillId="8" borderId="36" xfId="0" applyFill="1" applyBorder="1" applyAlignment="1">
      <alignment horizontal="center" vertical="center" wrapText="1"/>
    </xf>
    <xf numFmtId="1" fontId="2" fillId="4" borderId="4" xfId="0" applyNumberFormat="1" applyFont="1" applyFill="1" applyBorder="1" applyAlignment="1">
      <alignment horizontal="center" vertical="center"/>
    </xf>
    <xf numFmtId="0" fontId="0" fillId="0" borderId="36" xfId="0" applyBorder="1" applyAlignment="1">
      <alignment horizontal="center" vertical="center"/>
    </xf>
    <xf numFmtId="9" fontId="3" fillId="8" borderId="4" xfId="0" applyNumberFormat="1" applyFont="1" applyFill="1" applyBorder="1" applyAlignment="1">
      <alignment horizontal="center" vertical="center"/>
    </xf>
    <xf numFmtId="9" fontId="0" fillId="8" borderId="36" xfId="0" applyNumberFormat="1" applyFill="1" applyBorder="1" applyAlignment="1">
      <alignment horizontal="center" vertical="center"/>
    </xf>
    <xf numFmtId="0" fontId="2" fillId="7" borderId="56" xfId="0" applyFont="1" applyFill="1" applyBorder="1" applyAlignment="1">
      <alignment vertical="center" wrapText="1"/>
    </xf>
    <xf numFmtId="0" fontId="2" fillId="7" borderId="57" xfId="0" applyFont="1" applyFill="1" applyBorder="1" applyAlignment="1">
      <alignment vertical="center" wrapText="1"/>
    </xf>
    <xf numFmtId="0" fontId="2" fillId="7" borderId="59" xfId="0" applyFont="1" applyFill="1" applyBorder="1" applyAlignment="1">
      <alignment vertical="center" wrapText="1"/>
    </xf>
    <xf numFmtId="9" fontId="2" fillId="8" borderId="4" xfId="0" applyNumberFormat="1" applyFont="1" applyFill="1" applyBorder="1" applyAlignment="1">
      <alignment horizontal="center" vertical="center"/>
    </xf>
    <xf numFmtId="0" fontId="6" fillId="28" borderId="37" xfId="0" applyFont="1" applyFill="1" applyBorder="1" applyAlignment="1">
      <alignment vertical="center" wrapText="1"/>
    </xf>
    <xf numFmtId="0" fontId="6" fillId="28" borderId="38" xfId="0" applyFont="1" applyFill="1" applyBorder="1" applyAlignment="1">
      <alignment vertical="center" wrapText="1"/>
    </xf>
    <xf numFmtId="0" fontId="0" fillId="28" borderId="38" xfId="0" applyFill="1" applyBorder="1" applyAlignment="1">
      <alignment vertical="center" wrapText="1"/>
    </xf>
    <xf numFmtId="0" fontId="0" fillId="28" borderId="39" xfId="0" applyFill="1" applyBorder="1" applyAlignment="1">
      <alignment vertical="center" wrapText="1"/>
    </xf>
    <xf numFmtId="0" fontId="6" fillId="28" borderId="37" xfId="0" applyFont="1" applyFill="1" applyBorder="1" applyAlignment="1">
      <alignment horizontal="left" vertical="center" wrapText="1"/>
    </xf>
    <xf numFmtId="0" fontId="6" fillId="28" borderId="38" xfId="0" applyFont="1" applyFill="1" applyBorder="1" applyAlignment="1">
      <alignment horizontal="left" vertical="center" wrapText="1"/>
    </xf>
    <xf numFmtId="0" fontId="0" fillId="28" borderId="38" xfId="0" applyFill="1" applyBorder="1" applyAlignment="1">
      <alignment horizontal="left" vertical="center" wrapText="1"/>
    </xf>
    <xf numFmtId="0" fontId="0" fillId="28" borderId="39" xfId="0" applyFill="1" applyBorder="1" applyAlignment="1">
      <alignment horizontal="left" vertical="center" wrapText="1"/>
    </xf>
    <xf numFmtId="0" fontId="0" fillId="0" borderId="30" xfId="0"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6" xfId="0" applyFont="1" applyBorder="1" applyAlignment="1">
      <alignment horizontal="center" vertical="center" wrapText="1"/>
    </xf>
    <xf numFmtId="0" fontId="0" fillId="0" borderId="49" xfId="0" applyBorder="1" applyAlignment="1">
      <alignment horizontal="center" vertical="center"/>
    </xf>
    <xf numFmtId="0" fontId="2" fillId="6" borderId="37" xfId="0" applyFont="1" applyFill="1" applyBorder="1" applyAlignment="1">
      <alignment vertical="center" wrapText="1"/>
    </xf>
    <xf numFmtId="0" fontId="0" fillId="7" borderId="37" xfId="0" applyFill="1" applyBorder="1" applyAlignment="1">
      <alignment vertical="center" wrapText="1"/>
    </xf>
    <xf numFmtId="0" fontId="2" fillId="23" borderId="21" xfId="0" applyFont="1" applyFill="1" applyBorder="1" applyAlignment="1">
      <alignment horizontal="center" vertical="center" wrapText="1"/>
    </xf>
    <xf numFmtId="0" fontId="2" fillId="26" borderId="48" xfId="0" applyFont="1" applyFill="1" applyBorder="1" applyAlignment="1">
      <alignment horizontal="center" vertical="center" wrapText="1"/>
    </xf>
    <xf numFmtId="0" fontId="2" fillId="26" borderId="41"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29" borderId="21" xfId="0" applyFont="1" applyFill="1" applyBorder="1" applyAlignment="1">
      <alignment horizontal="center" vertical="center" wrapText="1"/>
    </xf>
    <xf numFmtId="0" fontId="2" fillId="25" borderId="21" xfId="0" applyFont="1" applyFill="1" applyBorder="1" applyAlignment="1">
      <alignment horizontal="center" vertical="center" wrapText="1"/>
    </xf>
    <xf numFmtId="0" fontId="2" fillId="30" borderId="21" xfId="0" applyFont="1" applyFill="1" applyBorder="1" applyAlignment="1">
      <alignment horizontal="center" vertical="center" wrapText="1"/>
    </xf>
    <xf numFmtId="0" fontId="2" fillId="31" borderId="21" xfId="0" applyFont="1" applyFill="1" applyBorder="1" applyAlignment="1">
      <alignment horizontal="center" vertical="center" wrapText="1"/>
    </xf>
    <xf numFmtId="0" fontId="2" fillId="27" borderId="21" xfId="0" applyFont="1" applyFill="1" applyBorder="1" applyAlignment="1">
      <alignment horizontal="center" vertical="center" wrapText="1"/>
    </xf>
    <xf numFmtId="0" fontId="2" fillId="23" borderId="4" xfId="0" applyFont="1" applyFill="1" applyBorder="1" applyAlignment="1">
      <alignment horizontal="center" vertical="center" wrapText="1"/>
    </xf>
    <xf numFmtId="0" fontId="0" fillId="23" borderId="36" xfId="0" applyFill="1" applyBorder="1" applyAlignment="1">
      <alignment horizontal="center" vertical="center" wrapText="1"/>
    </xf>
    <xf numFmtId="3" fontId="2" fillId="23" borderId="37" xfId="0" applyNumberFormat="1" applyFont="1" applyFill="1" applyBorder="1" applyAlignment="1">
      <alignment horizontal="center" vertical="center"/>
    </xf>
    <xf numFmtId="0" fontId="0" fillId="23" borderId="39" xfId="0" applyFill="1" applyBorder="1" applyAlignment="1">
      <alignment horizontal="center" vertical="center"/>
    </xf>
    <xf numFmtId="0" fontId="0" fillId="23" borderId="31" xfId="0" applyFill="1" applyBorder="1" applyAlignment="1">
      <alignment horizontal="center" vertical="center" wrapText="1"/>
    </xf>
    <xf numFmtId="0" fontId="2" fillId="26" borderId="48" xfId="0" applyFont="1" applyFill="1" applyBorder="1" applyAlignment="1">
      <alignment horizontal="center" vertical="center"/>
    </xf>
    <xf numFmtId="0" fontId="2" fillId="26" borderId="41" xfId="0" applyFont="1" applyFill="1" applyBorder="1" applyAlignment="1">
      <alignment horizontal="center" vertical="center"/>
    </xf>
    <xf numFmtId="0" fontId="2" fillId="6" borderId="48" xfId="0" applyFont="1" applyFill="1" applyBorder="1" applyAlignment="1">
      <alignment horizontal="center" vertical="center"/>
    </xf>
    <xf numFmtId="0" fontId="2" fillId="6" borderId="41" xfId="0" applyFont="1" applyFill="1" applyBorder="1" applyAlignment="1">
      <alignment horizontal="center" vertical="center"/>
    </xf>
    <xf numFmtId="0" fontId="2" fillId="29" borderId="48" xfId="0" applyFont="1" applyFill="1" applyBorder="1" applyAlignment="1">
      <alignment horizontal="center" vertical="center"/>
    </xf>
    <xf numFmtId="0" fontId="2" fillId="29" borderId="41" xfId="0" applyFont="1" applyFill="1" applyBorder="1" applyAlignment="1">
      <alignment horizontal="center" vertical="center"/>
    </xf>
    <xf numFmtId="0" fontId="2" fillId="25" borderId="48" xfId="0" applyFont="1" applyFill="1" applyBorder="1" applyAlignment="1">
      <alignment horizontal="center" vertical="center"/>
    </xf>
    <xf numFmtId="0" fontId="2" fillId="25" borderId="41" xfId="0" applyFont="1" applyFill="1" applyBorder="1" applyAlignment="1">
      <alignment horizontal="center" vertical="center"/>
    </xf>
    <xf numFmtId="0" fontId="2" fillId="30" borderId="48" xfId="0" applyFont="1" applyFill="1" applyBorder="1" applyAlignment="1">
      <alignment horizontal="center" vertical="center"/>
    </xf>
    <xf numFmtId="0" fontId="2" fillId="30" borderId="41" xfId="0" applyFont="1" applyFill="1" applyBorder="1" applyAlignment="1">
      <alignment horizontal="center" vertical="center"/>
    </xf>
    <xf numFmtId="0" fontId="2" fillId="31" borderId="48" xfId="0" applyFont="1" applyFill="1" applyBorder="1" applyAlignment="1">
      <alignment horizontal="center" vertical="center"/>
    </xf>
    <xf numFmtId="0" fontId="2" fillId="31" borderId="41" xfId="0" applyFont="1" applyFill="1" applyBorder="1" applyAlignment="1">
      <alignment horizontal="center" vertical="center"/>
    </xf>
    <xf numFmtId="9" fontId="2" fillId="23" borderId="37" xfId="0" applyNumberFormat="1" applyFont="1" applyFill="1" applyBorder="1" applyAlignment="1">
      <alignment horizontal="center" vertical="center"/>
    </xf>
    <xf numFmtId="9" fontId="0" fillId="23" borderId="39" xfId="0" applyNumberFormat="1" applyFill="1" applyBorder="1" applyAlignment="1">
      <alignment horizontal="center" vertical="center"/>
    </xf>
    <xf numFmtId="0" fontId="2" fillId="27" borderId="48" xfId="0" applyFont="1" applyFill="1" applyBorder="1" applyAlignment="1">
      <alignment horizontal="center" vertical="center"/>
    </xf>
    <xf numFmtId="0" fontId="2" fillId="27" borderId="41" xfId="0" applyFont="1" applyFill="1" applyBorder="1" applyAlignment="1">
      <alignment horizontal="center" vertical="center"/>
    </xf>
    <xf numFmtId="0" fontId="2" fillId="4" borderId="41" xfId="0" applyFont="1" applyFill="1" applyBorder="1" applyAlignment="1">
      <alignment horizontal="center" vertical="center"/>
    </xf>
    <xf numFmtId="0" fontId="2" fillId="23" borderId="50" xfId="0" applyFont="1" applyFill="1" applyBorder="1" applyAlignment="1">
      <alignment horizontal="center" vertical="center"/>
    </xf>
    <xf numFmtId="9" fontId="2" fillId="23" borderId="37" xfId="1" applyFont="1" applyFill="1" applyBorder="1" applyAlignment="1" applyProtection="1">
      <alignment horizontal="center" vertical="center"/>
    </xf>
    <xf numFmtId="9" fontId="0" fillId="23" borderId="39" xfId="1" applyFont="1" applyFill="1" applyBorder="1" applyAlignment="1" applyProtection="1">
      <alignment horizontal="center" vertical="center"/>
    </xf>
    <xf numFmtId="9" fontId="2" fillId="4" borderId="37" xfId="1" applyFont="1" applyFill="1" applyBorder="1" applyAlignment="1" applyProtection="1">
      <alignment horizontal="center" vertical="center"/>
    </xf>
    <xf numFmtId="9" fontId="0" fillId="4" borderId="39" xfId="1" applyFont="1" applyFill="1" applyBorder="1" applyAlignment="1" applyProtection="1">
      <alignment horizontal="center" vertical="center"/>
    </xf>
    <xf numFmtId="9" fontId="2" fillId="7" borderId="37" xfId="1" applyFont="1" applyFill="1" applyBorder="1" applyAlignment="1" applyProtection="1">
      <alignment horizontal="center" vertical="center"/>
    </xf>
    <xf numFmtId="9" fontId="0" fillId="7" borderId="39" xfId="1" applyFont="1" applyFill="1" applyBorder="1" applyAlignment="1" applyProtection="1">
      <alignment horizontal="center" vertical="center"/>
    </xf>
    <xf numFmtId="0" fontId="0" fillId="0" borderId="39" xfId="0" applyBorder="1" applyAlignment="1">
      <alignment horizontal="center" vertical="center"/>
    </xf>
    <xf numFmtId="0" fontId="0" fillId="30" borderId="31" xfId="0" applyFill="1" applyBorder="1" applyAlignment="1">
      <alignment horizontal="center" vertical="center" wrapText="1"/>
    </xf>
    <xf numFmtId="0" fontId="2" fillId="30" borderId="50" xfId="0" applyFont="1" applyFill="1" applyBorder="1" applyAlignment="1">
      <alignment horizontal="center" vertical="center"/>
    </xf>
  </cellXfs>
  <cellStyles count="3">
    <cellStyle name="Accent5" xfId="2" builtinId="45"/>
    <cellStyle name="Normal" xfId="0" builtinId="0"/>
    <cellStyle name="Percent" xfId="1" builtinId="5"/>
  </cellStyles>
  <dxfs count="0"/>
  <tableStyles count="0" defaultTableStyle="TableStyleMedium2" defaultPivotStyle="PivotStyleLight16"/>
  <colors>
    <mruColors>
      <color rgb="FF00FF00"/>
      <color rgb="FFCC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940594</xdr:colOff>
      <xdr:row>48</xdr:row>
      <xdr:rowOff>119063</xdr:rowOff>
    </xdr:from>
    <xdr:to>
      <xdr:col>6</xdr:col>
      <xdr:colOff>252413</xdr:colOff>
      <xdr:row>50</xdr:row>
      <xdr:rowOff>119063</xdr:rowOff>
    </xdr:to>
    <xdr:pic>
      <xdr:nvPicPr>
        <xdr:cNvPr id="2" name="Picture 1">
          <a:extLst>
            <a:ext uri="{FF2B5EF4-FFF2-40B4-BE49-F238E27FC236}">
              <a16:creationId xmlns:a16="http://schemas.microsoft.com/office/drawing/2014/main" id="{A1E8F653-D560-4B22-9608-5E27CF3CF9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55032" y="18097501"/>
          <a:ext cx="2514600" cy="3929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55"/>
  <sheetViews>
    <sheetView tabSelected="1" topLeftCell="C1" zoomScale="80" zoomScaleNormal="80" workbookViewId="0">
      <selection activeCell="I50" sqref="I50"/>
    </sheetView>
  </sheetViews>
  <sheetFormatPr defaultRowHeight="15" x14ac:dyDescent="0.25"/>
  <cols>
    <col min="3" max="3" width="14.42578125" customWidth="1"/>
    <col min="4" max="4" width="12" customWidth="1"/>
    <col min="6" max="6" width="12.42578125" customWidth="1"/>
    <col min="7" max="7" width="14.5703125" customWidth="1"/>
    <col min="9" max="9" width="26.7109375" customWidth="1"/>
  </cols>
  <sheetData>
    <row r="2" spans="2:10" ht="15.75" thickBot="1" x14ac:dyDescent="0.3"/>
    <row r="3" spans="2:10" ht="15.75" thickTop="1" x14ac:dyDescent="0.25">
      <c r="B3" s="143"/>
      <c r="C3" s="144"/>
      <c r="D3" s="144"/>
      <c r="E3" s="144"/>
      <c r="F3" s="144"/>
      <c r="G3" s="144"/>
      <c r="H3" s="144"/>
      <c r="I3" s="144"/>
      <c r="J3" s="145"/>
    </row>
    <row r="4" spans="2:10" s="140" customFormat="1" x14ac:dyDescent="0.2">
      <c r="B4" s="146"/>
      <c r="C4" s="140" t="s">
        <v>0</v>
      </c>
      <c r="J4" s="147"/>
    </row>
    <row r="5" spans="2:10" s="140" customFormat="1" ht="15.75" x14ac:dyDescent="0.25">
      <c r="B5" s="146"/>
      <c r="C5" s="148" t="s">
        <v>1</v>
      </c>
      <c r="J5" s="147"/>
    </row>
    <row r="6" spans="2:10" s="140" customFormat="1" x14ac:dyDescent="0.2">
      <c r="B6" s="146"/>
      <c r="J6" s="147"/>
    </row>
    <row r="7" spans="2:10" s="140" customFormat="1" ht="15.75" x14ac:dyDescent="0.25">
      <c r="B7" s="146"/>
      <c r="C7" s="148" t="s">
        <v>2</v>
      </c>
      <c r="E7" s="570" t="s">
        <v>3</v>
      </c>
      <c r="F7" s="478"/>
      <c r="G7" s="478"/>
      <c r="H7" s="478"/>
      <c r="I7" s="478"/>
      <c r="J7" s="147"/>
    </row>
    <row r="8" spans="2:10" s="140" customFormat="1" ht="15.75" x14ac:dyDescent="0.25">
      <c r="B8" s="146"/>
      <c r="C8" s="148"/>
      <c r="J8" s="147"/>
    </row>
    <row r="9" spans="2:10" s="140" customFormat="1" ht="16.5" thickBot="1" x14ac:dyDescent="0.3">
      <c r="B9" s="146"/>
      <c r="C9" s="148" t="s">
        <v>4</v>
      </c>
      <c r="E9" s="140" t="s">
        <v>5</v>
      </c>
      <c r="G9" s="610">
        <v>44743</v>
      </c>
      <c r="H9" s="609"/>
      <c r="J9" s="147"/>
    </row>
    <row r="10" spans="2:10" s="140" customFormat="1" ht="15.75" x14ac:dyDescent="0.25">
      <c r="B10" s="146"/>
      <c r="C10" s="148"/>
      <c r="J10" s="147"/>
    </row>
    <row r="11" spans="2:10" s="140" customFormat="1" ht="15.75" x14ac:dyDescent="0.25">
      <c r="B11" s="146"/>
      <c r="C11" s="148" t="s">
        <v>6</v>
      </c>
      <c r="E11" s="140" t="s">
        <v>7</v>
      </c>
      <c r="J11" s="147"/>
    </row>
    <row r="12" spans="2:10" s="140" customFormat="1" ht="47.25" customHeight="1" x14ac:dyDescent="0.25">
      <c r="B12" s="146"/>
      <c r="C12" s="148" t="s">
        <v>8</v>
      </c>
      <c r="E12" s="631" t="s">
        <v>9</v>
      </c>
      <c r="F12" s="631"/>
      <c r="G12" s="631"/>
      <c r="H12" s="631"/>
      <c r="I12" s="631"/>
      <c r="J12" s="147"/>
    </row>
    <row r="13" spans="2:10" s="140" customFormat="1" ht="15.75" x14ac:dyDescent="0.25">
      <c r="B13" s="146"/>
      <c r="C13" s="148"/>
      <c r="J13" s="147"/>
    </row>
    <row r="14" spans="2:10" s="140" customFormat="1" ht="16.5" thickBot="1" x14ac:dyDescent="0.3">
      <c r="B14" s="146"/>
      <c r="C14" s="148" t="s">
        <v>10</v>
      </c>
      <c r="E14" s="609" t="s">
        <v>11</v>
      </c>
      <c r="F14" s="609"/>
      <c r="G14" s="478"/>
      <c r="H14" s="478"/>
      <c r="I14" s="478"/>
      <c r="J14" s="147"/>
    </row>
    <row r="15" spans="2:10" s="140" customFormat="1" x14ac:dyDescent="0.2">
      <c r="B15" s="146"/>
      <c r="J15" s="147"/>
    </row>
    <row r="16" spans="2:10" s="140" customFormat="1" ht="15.75" x14ac:dyDescent="0.25">
      <c r="B16" s="146"/>
      <c r="C16" s="148" t="s">
        <v>12</v>
      </c>
      <c r="J16" s="147"/>
    </row>
    <row r="17" spans="2:10" s="140" customFormat="1" ht="161.25" customHeight="1" x14ac:dyDescent="0.2">
      <c r="B17" s="146"/>
      <c r="C17" s="632" t="s">
        <v>13</v>
      </c>
      <c r="D17" s="633"/>
      <c r="E17" s="633"/>
      <c r="F17" s="633"/>
      <c r="G17" s="633"/>
      <c r="H17" s="633"/>
      <c r="I17" s="633"/>
      <c r="J17" s="147"/>
    </row>
    <row r="18" spans="2:10" s="140" customFormat="1" x14ac:dyDescent="0.2">
      <c r="B18" s="146"/>
      <c r="C18" s="149"/>
      <c r="D18" s="149"/>
      <c r="E18" s="149"/>
      <c r="F18" s="149"/>
      <c r="G18" s="149"/>
      <c r="H18" s="149"/>
      <c r="I18" s="149"/>
      <c r="J18" s="147"/>
    </row>
    <row r="19" spans="2:10" s="140" customFormat="1" ht="110.25" customHeight="1" x14ac:dyDescent="0.2">
      <c r="B19" s="146"/>
      <c r="C19" s="637" t="s">
        <v>14</v>
      </c>
      <c r="D19" s="637"/>
      <c r="E19" s="637"/>
      <c r="F19" s="637"/>
      <c r="G19" s="637"/>
      <c r="H19" s="637"/>
      <c r="I19" s="637"/>
      <c r="J19" s="147"/>
    </row>
    <row r="20" spans="2:10" s="141" customFormat="1" thickBot="1" x14ac:dyDescent="0.25">
      <c r="B20" s="150"/>
      <c r="C20" s="151"/>
      <c r="D20" s="151"/>
      <c r="E20" s="151"/>
      <c r="F20" s="151"/>
      <c r="G20" s="151"/>
      <c r="H20" s="151"/>
      <c r="I20" s="151"/>
      <c r="J20" s="152"/>
    </row>
    <row r="21" spans="2:10" s="141" customFormat="1" ht="47.25" customHeight="1" x14ac:dyDescent="0.2">
      <c r="B21" s="150"/>
      <c r="C21" s="638" t="s">
        <v>15</v>
      </c>
      <c r="D21" s="639"/>
      <c r="E21" s="642" t="s">
        <v>16</v>
      </c>
      <c r="F21" s="639"/>
      <c r="G21" s="642" t="s">
        <v>17</v>
      </c>
      <c r="H21" s="639"/>
      <c r="I21" s="151"/>
      <c r="J21" s="152"/>
    </row>
    <row r="22" spans="2:10" s="141" customFormat="1" ht="33.75" customHeight="1" x14ac:dyDescent="0.2">
      <c r="B22" s="150"/>
      <c r="C22" s="640"/>
      <c r="D22" s="641"/>
      <c r="E22" s="643"/>
      <c r="F22" s="641"/>
      <c r="G22" s="643" t="s">
        <v>18</v>
      </c>
      <c r="H22" s="641"/>
      <c r="I22" s="151"/>
      <c r="J22" s="152"/>
    </row>
    <row r="23" spans="2:10" s="141" customFormat="1" ht="47.25" customHeight="1" x14ac:dyDescent="0.2">
      <c r="B23" s="150"/>
      <c r="C23" s="647">
        <v>44501</v>
      </c>
      <c r="D23" s="641"/>
      <c r="E23" s="650" t="s">
        <v>19</v>
      </c>
      <c r="F23" s="641"/>
      <c r="G23" s="650" t="s">
        <v>20</v>
      </c>
      <c r="H23" s="652"/>
      <c r="I23" s="151"/>
      <c r="J23" s="152"/>
    </row>
    <row r="24" spans="2:10" s="141" customFormat="1" ht="32.25" customHeight="1" x14ac:dyDescent="0.2">
      <c r="B24" s="150"/>
      <c r="C24" s="647">
        <v>44621</v>
      </c>
      <c r="D24" s="641"/>
      <c r="E24" s="650" t="s">
        <v>21</v>
      </c>
      <c r="F24" s="641"/>
      <c r="G24" s="650" t="s">
        <v>22</v>
      </c>
      <c r="H24" s="652"/>
      <c r="I24" s="151"/>
      <c r="J24" s="152"/>
    </row>
    <row r="25" spans="2:10" s="141" customFormat="1" ht="33.75" customHeight="1" thickBot="1" x14ac:dyDescent="0.25">
      <c r="B25" s="150"/>
      <c r="C25" s="648">
        <v>44743</v>
      </c>
      <c r="D25" s="649"/>
      <c r="E25" s="651" t="s">
        <v>23</v>
      </c>
      <c r="F25" s="649"/>
      <c r="G25" s="651" t="s">
        <v>24</v>
      </c>
      <c r="H25" s="653"/>
      <c r="I25" s="151"/>
      <c r="J25" s="152"/>
    </row>
    <row r="26" spans="2:10" s="141" customFormat="1" ht="14.25" x14ac:dyDescent="0.2">
      <c r="B26" s="150"/>
      <c r="C26" s="151"/>
      <c r="D26" s="151"/>
      <c r="E26" s="151"/>
      <c r="F26" s="151"/>
      <c r="G26" s="151"/>
      <c r="H26" s="151"/>
      <c r="I26" s="151"/>
      <c r="J26" s="152"/>
    </row>
    <row r="27" spans="2:10" s="141" customFormat="1" ht="14.25" x14ac:dyDescent="0.2">
      <c r="B27" s="150"/>
      <c r="C27" s="141" t="s">
        <v>25</v>
      </c>
      <c r="D27" s="151"/>
      <c r="E27" s="151"/>
      <c r="F27" s="151"/>
      <c r="G27" s="151"/>
      <c r="H27" s="151"/>
      <c r="I27" s="151"/>
      <c r="J27" s="152"/>
    </row>
    <row r="28" spans="2:10" s="141" customFormat="1" ht="14.25" x14ac:dyDescent="0.2">
      <c r="B28" s="150"/>
      <c r="C28" s="141" t="s">
        <v>26</v>
      </c>
      <c r="D28" s="151"/>
      <c r="E28" s="151"/>
      <c r="F28" s="151"/>
      <c r="G28" s="151"/>
      <c r="H28" s="151"/>
      <c r="I28" s="151"/>
      <c r="J28" s="152"/>
    </row>
    <row r="29" spans="2:10" s="141" customFormat="1" ht="14.25" x14ac:dyDescent="0.2">
      <c r="B29" s="150"/>
      <c r="D29" s="151"/>
      <c r="E29" s="151"/>
      <c r="F29" s="151"/>
      <c r="G29" s="151"/>
      <c r="H29" s="151"/>
      <c r="I29" s="151"/>
      <c r="J29" s="152"/>
    </row>
    <row r="30" spans="2:10" s="140" customFormat="1" ht="55.5" customHeight="1" x14ac:dyDescent="0.2">
      <c r="B30" s="146"/>
      <c r="C30" s="636" t="s">
        <v>27</v>
      </c>
      <c r="D30" s="636"/>
      <c r="E30" s="636"/>
      <c r="F30" s="636"/>
      <c r="G30" s="636"/>
      <c r="H30" s="636"/>
      <c r="I30" s="636"/>
      <c r="J30" s="147"/>
    </row>
    <row r="31" spans="2:10" s="140" customFormat="1" x14ac:dyDescent="0.2">
      <c r="B31" s="146"/>
      <c r="J31" s="147"/>
    </row>
    <row r="32" spans="2:10" s="140" customFormat="1" ht="102.75" customHeight="1" x14ac:dyDescent="0.2">
      <c r="B32" s="146"/>
      <c r="C32" s="634" t="s">
        <v>28</v>
      </c>
      <c r="D32" s="634"/>
      <c r="E32" s="634"/>
      <c r="F32" s="634"/>
      <c r="G32" s="634"/>
      <c r="H32" s="634"/>
      <c r="I32" s="634"/>
      <c r="J32" s="147"/>
    </row>
    <row r="33" spans="2:10" s="140" customFormat="1" x14ac:dyDescent="0.2">
      <c r="B33" s="146"/>
      <c r="C33" s="153"/>
      <c r="D33" s="153"/>
      <c r="E33" s="153"/>
      <c r="F33" s="153"/>
      <c r="G33" s="153"/>
      <c r="H33" s="153"/>
      <c r="I33" s="153"/>
      <c r="J33" s="147"/>
    </row>
    <row r="34" spans="2:10" s="140" customFormat="1" ht="58.5" customHeight="1" x14ac:dyDescent="0.2">
      <c r="B34" s="146"/>
      <c r="C34" s="644" t="s">
        <v>29</v>
      </c>
      <c r="D34" s="645"/>
      <c r="E34" s="645"/>
      <c r="F34" s="645"/>
      <c r="G34" s="645"/>
      <c r="H34" s="645"/>
      <c r="I34" s="645"/>
      <c r="J34" s="147"/>
    </row>
    <row r="35" spans="2:10" s="141" customFormat="1" ht="14.25" x14ac:dyDescent="0.2">
      <c r="B35" s="150"/>
      <c r="J35" s="152"/>
    </row>
    <row r="36" spans="2:10" s="141" customFormat="1" ht="14.25" x14ac:dyDescent="0.2">
      <c r="B36" s="150"/>
      <c r="C36" s="154"/>
      <c r="D36" s="154"/>
      <c r="F36" s="141" t="s">
        <v>30</v>
      </c>
      <c r="J36" s="152"/>
    </row>
    <row r="37" spans="2:10" s="141" customFormat="1" ht="14.25" x14ac:dyDescent="0.2">
      <c r="B37" s="150"/>
      <c r="J37" s="152"/>
    </row>
    <row r="38" spans="2:10" s="141" customFormat="1" ht="14.25" x14ac:dyDescent="0.2">
      <c r="B38" s="150"/>
      <c r="C38" s="155"/>
      <c r="D38" s="155"/>
      <c r="F38" s="141" t="s">
        <v>31</v>
      </c>
      <c r="J38" s="152"/>
    </row>
    <row r="39" spans="2:10" s="141" customFormat="1" ht="14.25" x14ac:dyDescent="0.2">
      <c r="B39" s="150"/>
      <c r="J39" s="152"/>
    </row>
    <row r="40" spans="2:10" s="141" customFormat="1" ht="14.25" x14ac:dyDescent="0.2">
      <c r="B40" s="150"/>
      <c r="C40" s="156"/>
      <c r="D40" s="156"/>
      <c r="F40" s="141" t="s">
        <v>32</v>
      </c>
      <c r="J40" s="152"/>
    </row>
    <row r="41" spans="2:10" s="141" customFormat="1" ht="14.25" x14ac:dyDescent="0.2">
      <c r="B41" s="150"/>
      <c r="J41" s="152"/>
    </row>
    <row r="42" spans="2:10" s="141" customFormat="1" ht="14.25" x14ac:dyDescent="0.2">
      <c r="B42" s="150"/>
      <c r="C42" s="157"/>
      <c r="D42" s="157"/>
      <c r="F42" s="141" t="s">
        <v>33</v>
      </c>
      <c r="J42" s="152"/>
    </row>
    <row r="43" spans="2:10" s="141" customFormat="1" ht="14.25" x14ac:dyDescent="0.2">
      <c r="B43" s="150"/>
      <c r="J43" s="152"/>
    </row>
    <row r="44" spans="2:10" s="140" customFormat="1" ht="146.25" customHeight="1" x14ac:dyDescent="0.2">
      <c r="B44" s="146"/>
      <c r="C44" s="635" t="s">
        <v>34</v>
      </c>
      <c r="D44" s="635"/>
      <c r="E44" s="635"/>
      <c r="F44" s="635"/>
      <c r="G44" s="635"/>
      <c r="H44" s="635"/>
      <c r="I44" s="635"/>
      <c r="J44" s="147"/>
    </row>
    <row r="45" spans="2:10" s="140" customFormat="1" x14ac:dyDescent="0.2">
      <c r="B45" s="146"/>
      <c r="J45" s="147"/>
    </row>
    <row r="46" spans="2:10" s="140" customFormat="1" x14ac:dyDescent="0.2">
      <c r="B46" s="146"/>
      <c r="J46" s="147"/>
    </row>
    <row r="47" spans="2:10" s="140" customFormat="1" ht="15.75" x14ac:dyDescent="0.2">
      <c r="B47" s="146"/>
      <c r="C47" s="646" t="s">
        <v>35</v>
      </c>
      <c r="D47" s="646"/>
      <c r="E47" s="646"/>
      <c r="F47" s="646"/>
      <c r="G47" s="646"/>
      <c r="H47" s="646"/>
      <c r="I47" s="646"/>
      <c r="J47" s="147"/>
    </row>
    <row r="48" spans="2:10" s="140" customFormat="1" x14ac:dyDescent="0.2">
      <c r="B48" s="146"/>
      <c r="C48" s="478"/>
      <c r="D48" s="478"/>
      <c r="E48" s="478"/>
      <c r="F48" s="478"/>
      <c r="G48" s="478"/>
      <c r="H48" s="478"/>
      <c r="I48" s="478"/>
      <c r="J48" s="479"/>
    </row>
    <row r="49" spans="2:10" s="140" customFormat="1" x14ac:dyDescent="0.2">
      <c r="B49" s="146"/>
      <c r="C49" s="478"/>
      <c r="D49" s="478"/>
      <c r="E49" s="478"/>
      <c r="F49" s="478"/>
      <c r="G49" s="478"/>
      <c r="H49" s="478"/>
      <c r="I49" s="478"/>
      <c r="J49" s="479"/>
    </row>
    <row r="50" spans="2:10" s="140" customFormat="1" ht="15.75" thickBot="1" x14ac:dyDescent="0.25">
      <c r="B50" s="146"/>
      <c r="C50" s="478" t="s">
        <v>36</v>
      </c>
      <c r="D50" s="609"/>
      <c r="E50" s="609"/>
      <c r="F50" s="609"/>
      <c r="G50" s="478"/>
      <c r="H50" s="478" t="s">
        <v>37</v>
      </c>
      <c r="I50" s="619">
        <v>44785</v>
      </c>
      <c r="J50" s="479"/>
    </row>
    <row r="51" spans="2:10" s="140" customFormat="1" x14ac:dyDescent="0.2">
      <c r="B51" s="146"/>
      <c r="C51" s="478"/>
      <c r="D51" s="478"/>
      <c r="E51" s="478"/>
      <c r="F51" s="478"/>
      <c r="G51" s="478"/>
      <c r="H51" s="478"/>
      <c r="I51" s="478"/>
      <c r="J51" s="479"/>
    </row>
    <row r="52" spans="2:10" s="140" customFormat="1" x14ac:dyDescent="0.2">
      <c r="B52" s="146"/>
      <c r="C52" s="140" t="s">
        <v>38</v>
      </c>
      <c r="J52" s="147"/>
    </row>
    <row r="53" spans="2:10" s="141" customFormat="1" ht="14.25" x14ac:dyDescent="0.2">
      <c r="B53" s="150"/>
      <c r="J53" s="152"/>
    </row>
    <row r="54" spans="2:10" ht="15.75" thickBot="1" x14ac:dyDescent="0.3">
      <c r="B54" s="158"/>
      <c r="C54" s="159"/>
      <c r="D54" s="159"/>
      <c r="E54" s="159"/>
      <c r="F54" s="159"/>
      <c r="G54" s="159"/>
      <c r="H54" s="159"/>
      <c r="I54" s="159"/>
      <c r="J54" s="160"/>
    </row>
    <row r="55" spans="2:10" ht="15.75" thickTop="1" x14ac:dyDescent="0.25"/>
  </sheetData>
  <sheetProtection algorithmName="SHA-512" hashValue="PXOX7xJrwSZ8rYBToEgLeZKc59/2RobZUHznecyt4fpCGVCmbDQ9dA9xmW8MStv0gBEbHAcKo2v0Yl5pAgsCNw==" saltValue="drLANE5ViqOTgYQabHjKlg==" spinCount="100000" sheet="1" formatCells="0" formatColumns="0" formatRows="0" selectLockedCells="1"/>
  <mergeCells count="20">
    <mergeCell ref="C47:I47"/>
    <mergeCell ref="G21:H22"/>
    <mergeCell ref="C23:D23"/>
    <mergeCell ref="C24:D24"/>
    <mergeCell ref="C25:D25"/>
    <mergeCell ref="E23:F23"/>
    <mergeCell ref="E24:F24"/>
    <mergeCell ref="E25:F25"/>
    <mergeCell ref="G23:H23"/>
    <mergeCell ref="G24:H24"/>
    <mergeCell ref="G25:H25"/>
    <mergeCell ref="E12:I12"/>
    <mergeCell ref="C17:I17"/>
    <mergeCell ref="C32:I32"/>
    <mergeCell ref="C44:I44"/>
    <mergeCell ref="C30:I30"/>
    <mergeCell ref="C19:I19"/>
    <mergeCell ref="C21:D22"/>
    <mergeCell ref="E21:F22"/>
    <mergeCell ref="C34:I34"/>
  </mergeCells>
  <pageMargins left="0.25" right="0.25" top="0.75" bottom="0.75" header="0.3" footer="0.3"/>
  <pageSetup paperSize="9" scale="7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D38"/>
  <sheetViews>
    <sheetView topLeftCell="A17" zoomScale="80" zoomScaleNormal="80" workbookViewId="0">
      <selection activeCell="P19" sqref="P19:Q22"/>
    </sheetView>
  </sheetViews>
  <sheetFormatPr defaultColWidth="9.140625" defaultRowHeight="15" x14ac:dyDescent="0.25"/>
  <cols>
    <col min="1" max="1" width="17.85546875" customWidth="1"/>
    <col min="2" max="37" width="9.28515625" customWidth="1"/>
  </cols>
  <sheetData>
    <row r="1" spans="1:108" ht="17.25" thickBot="1" x14ac:dyDescent="0.4">
      <c r="A1" s="922" t="s">
        <v>275</v>
      </c>
      <c r="B1" s="923"/>
      <c r="C1" s="923"/>
      <c r="D1" s="923"/>
      <c r="E1" s="923"/>
      <c r="F1" s="923"/>
      <c r="G1" s="923"/>
      <c r="H1" s="923"/>
      <c r="I1" s="923"/>
      <c r="J1" s="923"/>
      <c r="K1" s="923"/>
      <c r="L1" s="923"/>
      <c r="M1" s="923"/>
      <c r="N1" s="923"/>
      <c r="O1" s="923"/>
      <c r="P1" s="923"/>
      <c r="Q1" s="923"/>
      <c r="R1" s="923"/>
      <c r="S1" s="923"/>
      <c r="T1" s="923"/>
      <c r="U1" s="923"/>
      <c r="V1" s="923"/>
      <c r="W1" s="924"/>
    </row>
    <row r="2" spans="1:108" ht="15" customHeight="1" thickBot="1" x14ac:dyDescent="0.3"/>
    <row r="3" spans="1:108" ht="17.25" customHeight="1" thickBot="1" x14ac:dyDescent="0.35">
      <c r="A3" s="916" t="s">
        <v>276</v>
      </c>
      <c r="B3" s="917"/>
      <c r="C3" s="917"/>
      <c r="D3" s="917"/>
      <c r="E3" s="917"/>
      <c r="F3" s="917"/>
      <c r="G3" s="917"/>
      <c r="H3" s="917"/>
      <c r="I3" s="917"/>
      <c r="J3" s="917"/>
      <c r="K3" s="917"/>
      <c r="L3" s="917"/>
      <c r="M3" s="917"/>
      <c r="N3" s="917"/>
      <c r="O3" s="917"/>
      <c r="P3" s="917"/>
      <c r="Q3" s="917"/>
      <c r="R3" s="917"/>
      <c r="S3" s="917"/>
      <c r="T3" s="917"/>
      <c r="U3" s="917"/>
      <c r="V3" s="917"/>
      <c r="W3" s="918"/>
      <c r="AB3" s="519"/>
    </row>
    <row r="4" spans="1:108" s="481" customFormat="1" ht="45.75" customHeight="1" x14ac:dyDescent="0.25">
      <c r="A4" s="844" t="s">
        <v>277</v>
      </c>
      <c r="B4" s="898" t="s">
        <v>278</v>
      </c>
      <c r="C4" s="899"/>
      <c r="D4" s="898" t="s">
        <v>279</v>
      </c>
      <c r="E4" s="900"/>
      <c r="F4" s="898" t="s">
        <v>280</v>
      </c>
      <c r="G4" s="899"/>
      <c r="H4" s="898" t="s">
        <v>281</v>
      </c>
      <c r="I4" s="899"/>
      <c r="J4" s="898" t="s">
        <v>282</v>
      </c>
      <c r="K4" s="899"/>
      <c r="L4" s="898" t="s">
        <v>283</v>
      </c>
      <c r="M4" s="899"/>
      <c r="N4" s="898" t="s">
        <v>284</v>
      </c>
      <c r="O4" s="899"/>
      <c r="P4" s="898" t="s">
        <v>285</v>
      </c>
      <c r="Q4" s="899"/>
      <c r="R4" s="898" t="s">
        <v>286</v>
      </c>
      <c r="S4" s="899"/>
      <c r="T4" s="898" t="s">
        <v>287</v>
      </c>
      <c r="U4" s="899"/>
      <c r="V4" s="898" t="s">
        <v>288</v>
      </c>
      <c r="W4" s="899"/>
      <c r="X4" s="480"/>
      <c r="Y4" s="480"/>
      <c r="Z4" s="480"/>
      <c r="AA4" s="480"/>
      <c r="AB4" s="480"/>
      <c r="AC4" s="480"/>
      <c r="AD4" s="480"/>
      <c r="AE4" s="480"/>
      <c r="AF4" s="480"/>
      <c r="AG4" s="480"/>
      <c r="AH4" s="480"/>
      <c r="AI4" s="480"/>
      <c r="AJ4" s="480"/>
      <c r="AK4" s="480"/>
      <c r="AL4" s="480"/>
      <c r="AM4" s="480"/>
      <c r="AN4" s="480"/>
      <c r="AO4" s="480"/>
      <c r="AP4" s="480"/>
      <c r="AQ4" s="480"/>
      <c r="AR4" s="480"/>
      <c r="AS4" s="480"/>
      <c r="AT4" s="480"/>
      <c r="AU4" s="480"/>
      <c r="AV4" s="480"/>
      <c r="AW4" s="480"/>
      <c r="AX4" s="480"/>
      <c r="AY4" s="480"/>
      <c r="AZ4" s="480"/>
      <c r="BA4" s="480"/>
      <c r="BB4" s="480"/>
      <c r="BC4" s="480"/>
      <c r="BD4" s="480"/>
      <c r="BE4" s="480"/>
      <c r="BF4" s="480"/>
      <c r="BG4" s="480"/>
      <c r="BH4" s="480"/>
      <c r="BI4" s="480"/>
      <c r="BJ4" s="480"/>
      <c r="BK4" s="480"/>
      <c r="BL4" s="480"/>
      <c r="BM4" s="480"/>
      <c r="BN4" s="480"/>
      <c r="BO4" s="480"/>
      <c r="BP4" s="480"/>
      <c r="BQ4" s="480"/>
      <c r="BR4" s="480"/>
      <c r="BS4" s="480"/>
      <c r="BT4" s="480"/>
      <c r="BU4" s="480"/>
      <c r="BV4" s="480"/>
      <c r="BW4" s="480"/>
      <c r="BX4" s="480"/>
    </row>
    <row r="5" spans="1:108" s="481" customFormat="1" ht="15.75" thickBot="1" x14ac:dyDescent="0.3">
      <c r="A5" s="897"/>
      <c r="B5" s="31" t="s">
        <v>158</v>
      </c>
      <c r="C5" s="219" t="s">
        <v>156</v>
      </c>
      <c r="D5" s="31" t="s">
        <v>158</v>
      </c>
      <c r="E5" s="219" t="s">
        <v>156</v>
      </c>
      <c r="F5" s="31" t="s">
        <v>158</v>
      </c>
      <c r="G5" s="219" t="s">
        <v>156</v>
      </c>
      <c r="H5" s="31" t="s">
        <v>158</v>
      </c>
      <c r="I5" s="219" t="s">
        <v>156</v>
      </c>
      <c r="J5" s="31" t="s">
        <v>158</v>
      </c>
      <c r="K5" s="219" t="s">
        <v>156</v>
      </c>
      <c r="L5" s="31" t="s">
        <v>158</v>
      </c>
      <c r="M5" s="219" t="s">
        <v>156</v>
      </c>
      <c r="N5" s="31" t="s">
        <v>158</v>
      </c>
      <c r="O5" s="219" t="s">
        <v>156</v>
      </c>
      <c r="P5" s="31" t="s">
        <v>158</v>
      </c>
      <c r="Q5" s="219" t="s">
        <v>156</v>
      </c>
      <c r="R5" s="31" t="s">
        <v>158</v>
      </c>
      <c r="S5" s="219" t="s">
        <v>156</v>
      </c>
      <c r="T5" s="31" t="s">
        <v>158</v>
      </c>
      <c r="U5" s="219" t="s">
        <v>156</v>
      </c>
      <c r="V5" s="31" t="s">
        <v>158</v>
      </c>
      <c r="W5" s="262" t="s">
        <v>156</v>
      </c>
      <c r="X5" s="480"/>
      <c r="Y5" s="480"/>
      <c r="Z5" s="480"/>
      <c r="AA5" s="480"/>
      <c r="AB5" s="480"/>
      <c r="AC5" s="480"/>
      <c r="AD5" s="480"/>
      <c r="AE5" s="480"/>
      <c r="AF5" s="480"/>
      <c r="AG5" s="480"/>
      <c r="AH5" s="480"/>
      <c r="AI5" s="480"/>
      <c r="AJ5" s="480"/>
      <c r="AK5" s="480"/>
      <c r="AL5" s="480"/>
      <c r="AM5" s="480"/>
      <c r="AN5" s="480"/>
      <c r="AO5" s="480"/>
      <c r="AP5" s="480"/>
      <c r="AQ5" s="480"/>
      <c r="AR5" s="480"/>
      <c r="AS5" s="480"/>
      <c r="AT5" s="480"/>
      <c r="AU5" s="480"/>
      <c r="AV5" s="480"/>
      <c r="AW5" s="480"/>
      <c r="AX5" s="480"/>
      <c r="AY5" s="480"/>
      <c r="AZ5" s="480"/>
      <c r="BA5" s="480"/>
      <c r="BB5" s="480"/>
      <c r="BC5" s="480"/>
      <c r="BD5" s="480"/>
      <c r="BE5" s="480"/>
      <c r="BF5" s="480"/>
      <c r="BG5" s="480"/>
      <c r="BH5" s="480"/>
      <c r="BI5" s="480"/>
      <c r="BJ5" s="480"/>
      <c r="BK5" s="480"/>
      <c r="BL5" s="480"/>
      <c r="BM5" s="480"/>
      <c r="BN5" s="480"/>
      <c r="BO5" s="480"/>
      <c r="BP5" s="480"/>
      <c r="BQ5" s="480"/>
      <c r="BR5" s="480"/>
      <c r="BS5" s="480"/>
      <c r="BT5" s="480"/>
      <c r="BU5" s="480"/>
      <c r="BV5" s="480"/>
      <c r="BW5" s="480"/>
    </row>
    <row r="6" spans="1:108" s="116" customFormat="1" ht="31.5" customHeight="1" thickBot="1" x14ac:dyDescent="0.3">
      <c r="A6" s="129" t="s">
        <v>289</v>
      </c>
      <c r="B6" s="279"/>
      <c r="C6" s="280"/>
      <c r="D6" s="279">
        <v>10</v>
      </c>
      <c r="E6" s="280">
        <v>15</v>
      </c>
      <c r="F6" s="279">
        <v>45</v>
      </c>
      <c r="G6" s="280">
        <v>14</v>
      </c>
      <c r="H6" s="279">
        <v>297</v>
      </c>
      <c r="I6" s="280"/>
      <c r="J6" s="279">
        <v>775</v>
      </c>
      <c r="K6" s="280"/>
      <c r="L6" s="279"/>
      <c r="M6" s="280"/>
      <c r="N6" s="466">
        <f t="shared" ref="N6:O9" si="0">SUM(B6+D6+F6+H6+J6+L6)</f>
        <v>1127</v>
      </c>
      <c r="O6" s="467">
        <f t="shared" si="0"/>
        <v>29</v>
      </c>
      <c r="P6" s="279">
        <v>93</v>
      </c>
      <c r="Q6" s="280"/>
      <c r="R6" s="522">
        <f>'2021-22 ERC'!T178</f>
        <v>1053</v>
      </c>
      <c r="S6" s="522">
        <f>'2021-22 ERC'!U178</f>
        <v>28</v>
      </c>
      <c r="T6" s="297">
        <f>N6+P6</f>
        <v>1220</v>
      </c>
      <c r="U6" s="298">
        <f t="shared" ref="T6:U9" si="1">O6+Q6</f>
        <v>29</v>
      </c>
      <c r="V6" s="299">
        <f>IFERROR(T6/R6,0)</f>
        <v>1.1585944919278253</v>
      </c>
      <c r="W6" s="300">
        <f>IFERROR(U6/S6,0)</f>
        <v>1.0357142857142858</v>
      </c>
      <c r="X6" s="506"/>
      <c r="Y6" s="506"/>
      <c r="Z6" s="506"/>
      <c r="AA6" s="506"/>
      <c r="AB6" s="506"/>
      <c r="AC6" s="506"/>
      <c r="AD6" s="506"/>
      <c r="AE6" s="506"/>
      <c r="AF6" s="506"/>
      <c r="AG6" s="506"/>
      <c r="AH6" s="506"/>
      <c r="AI6" s="506"/>
      <c r="AJ6" s="506"/>
      <c r="AK6" s="506"/>
      <c r="AL6" s="506"/>
      <c r="AM6" s="506"/>
      <c r="AN6" s="506"/>
      <c r="AO6" s="506"/>
      <c r="AP6" s="506"/>
      <c r="AQ6" s="506"/>
      <c r="AR6" s="506"/>
      <c r="AS6" s="506"/>
      <c r="AT6" s="506"/>
      <c r="AU6" s="506"/>
      <c r="AV6" s="506"/>
      <c r="AW6" s="506"/>
      <c r="AX6" s="506"/>
      <c r="AY6" s="506"/>
      <c r="AZ6" s="506"/>
      <c r="BA6" s="506"/>
      <c r="BB6" s="506"/>
      <c r="BC6" s="506"/>
      <c r="BD6" s="506"/>
      <c r="BE6" s="506"/>
      <c r="BF6" s="506"/>
      <c r="BG6" s="506"/>
      <c r="BH6" s="506"/>
      <c r="BI6" s="506"/>
      <c r="BJ6" s="506"/>
      <c r="BK6" s="506"/>
      <c r="BL6" s="506"/>
      <c r="BM6" s="506"/>
      <c r="BN6" s="506"/>
      <c r="BO6" s="506"/>
      <c r="BP6" s="506"/>
      <c r="BQ6" s="506"/>
      <c r="BR6" s="506"/>
      <c r="BS6" s="506"/>
      <c r="BT6" s="506"/>
      <c r="BU6" s="506"/>
      <c r="BV6" s="506"/>
    </row>
    <row r="7" spans="1:108" s="116" customFormat="1" ht="31.5" customHeight="1" thickBot="1" x14ac:dyDescent="0.3">
      <c r="A7" s="130" t="s">
        <v>234</v>
      </c>
      <c r="B7" s="281">
        <v>495</v>
      </c>
      <c r="C7" s="282"/>
      <c r="D7" s="281">
        <v>141</v>
      </c>
      <c r="E7" s="282">
        <v>137</v>
      </c>
      <c r="F7" s="281"/>
      <c r="G7" s="282">
        <v>158</v>
      </c>
      <c r="H7" s="281">
        <v>350</v>
      </c>
      <c r="I7" s="282">
        <v>207</v>
      </c>
      <c r="J7" s="281">
        <v>2000</v>
      </c>
      <c r="K7" s="282">
        <v>133</v>
      </c>
      <c r="L7" s="281">
        <v>73</v>
      </c>
      <c r="M7" s="282">
        <v>38</v>
      </c>
      <c r="N7" s="468">
        <f t="shared" si="0"/>
        <v>3059</v>
      </c>
      <c r="O7" s="469">
        <f t="shared" si="0"/>
        <v>673</v>
      </c>
      <c r="P7" s="281">
        <v>37</v>
      </c>
      <c r="Q7" s="282"/>
      <c r="R7" s="522">
        <f>'2021-22 ERC'!T179</f>
        <v>2998</v>
      </c>
      <c r="S7" s="522">
        <f>'2021-22 ERC'!U179</f>
        <v>521</v>
      </c>
      <c r="T7" s="301">
        <f t="shared" si="1"/>
        <v>3096</v>
      </c>
      <c r="U7" s="302">
        <f t="shared" si="1"/>
        <v>673</v>
      </c>
      <c r="V7" s="299">
        <f t="shared" ref="V7:V9" si="2">IFERROR(T7/R7,0)</f>
        <v>1.0326884589726484</v>
      </c>
      <c r="W7" s="300">
        <f t="shared" ref="W7:W9" si="3">IFERROR(U7/S7,0)</f>
        <v>1.2917466410748562</v>
      </c>
      <c r="X7" s="506"/>
      <c r="Y7" s="506"/>
      <c r="Z7" s="506"/>
      <c r="AA7" s="506"/>
      <c r="AB7" s="506"/>
      <c r="AC7" s="506"/>
      <c r="AD7" s="506"/>
      <c r="AE7" s="506"/>
      <c r="AF7" s="506"/>
      <c r="AG7" s="506"/>
      <c r="AH7" s="506"/>
      <c r="AI7" s="506"/>
      <c r="AJ7" s="506"/>
      <c r="AK7" s="506"/>
      <c r="AL7" s="506"/>
      <c r="AM7" s="506"/>
      <c r="AN7" s="506"/>
      <c r="AO7" s="506"/>
      <c r="AP7" s="506"/>
      <c r="AQ7" s="506"/>
      <c r="AR7" s="506"/>
      <c r="AS7" s="506"/>
      <c r="AT7" s="506"/>
      <c r="AU7" s="506"/>
      <c r="AV7" s="506"/>
      <c r="AW7" s="506"/>
      <c r="AX7" s="506"/>
      <c r="AY7" s="506"/>
      <c r="AZ7" s="506"/>
      <c r="BA7" s="506"/>
      <c r="BB7" s="506"/>
      <c r="BC7" s="506"/>
      <c r="BD7" s="506"/>
      <c r="BE7" s="506"/>
      <c r="BF7" s="506"/>
      <c r="BG7" s="506"/>
      <c r="BH7" s="506"/>
      <c r="BI7" s="506"/>
      <c r="BJ7" s="506"/>
      <c r="BK7" s="506"/>
      <c r="BL7" s="506"/>
      <c r="BM7" s="506"/>
      <c r="BN7" s="506"/>
      <c r="BO7" s="506"/>
      <c r="BP7" s="506"/>
      <c r="BQ7" s="506"/>
      <c r="BR7" s="506"/>
      <c r="BS7" s="506"/>
      <c r="BT7" s="506"/>
      <c r="BU7" s="506"/>
      <c r="BV7" s="506"/>
    </row>
    <row r="8" spans="1:108" s="116" customFormat="1" ht="30.75" customHeight="1" thickBot="1" x14ac:dyDescent="0.3">
      <c r="A8" s="130" t="s">
        <v>290</v>
      </c>
      <c r="B8" s="281">
        <v>8</v>
      </c>
      <c r="C8" s="282"/>
      <c r="D8" s="281">
        <v>391</v>
      </c>
      <c r="E8" s="282">
        <v>390</v>
      </c>
      <c r="F8" s="281">
        <v>73</v>
      </c>
      <c r="G8" s="282">
        <v>176</v>
      </c>
      <c r="H8" s="281">
        <v>179</v>
      </c>
      <c r="I8" s="282">
        <v>309</v>
      </c>
      <c r="J8" s="281">
        <v>1026</v>
      </c>
      <c r="K8" s="282">
        <v>688</v>
      </c>
      <c r="L8" s="281">
        <v>329</v>
      </c>
      <c r="M8" s="282">
        <v>125</v>
      </c>
      <c r="N8" s="468">
        <f t="shared" si="0"/>
        <v>2006</v>
      </c>
      <c r="O8" s="469">
        <f t="shared" si="0"/>
        <v>1688</v>
      </c>
      <c r="P8" s="281">
        <v>134</v>
      </c>
      <c r="Q8" s="282">
        <v>39</v>
      </c>
      <c r="R8" s="522">
        <f>'2021-22 ERC'!T180</f>
        <v>1970</v>
      </c>
      <c r="S8" s="522">
        <f>'2021-22 ERC'!U180</f>
        <v>1262</v>
      </c>
      <c r="T8" s="301">
        <f t="shared" si="1"/>
        <v>2140</v>
      </c>
      <c r="U8" s="302">
        <f t="shared" si="1"/>
        <v>1727</v>
      </c>
      <c r="V8" s="299">
        <f t="shared" si="2"/>
        <v>1.0862944162436547</v>
      </c>
      <c r="W8" s="300">
        <f t="shared" si="3"/>
        <v>1.3684627575277337</v>
      </c>
      <c r="X8" s="506"/>
      <c r="Y8" s="506"/>
      <c r="Z8" s="506"/>
      <c r="AA8" s="506"/>
      <c r="AB8" s="506"/>
      <c r="AC8" s="506"/>
      <c r="AD8" s="506"/>
      <c r="AE8" s="506"/>
      <c r="AF8" s="506"/>
      <c r="AG8" s="506"/>
      <c r="AH8" s="506"/>
      <c r="AI8" s="506"/>
      <c r="AJ8" s="506"/>
      <c r="AK8" s="506"/>
      <c r="AL8" s="506"/>
      <c r="AM8" s="506"/>
      <c r="AN8" s="506"/>
      <c r="AO8" s="506"/>
      <c r="AP8" s="506"/>
      <c r="AQ8" s="506"/>
      <c r="AR8" s="506"/>
      <c r="AS8" s="506"/>
      <c r="AT8" s="506"/>
      <c r="AU8" s="506"/>
      <c r="AV8" s="506"/>
      <c r="AW8" s="506"/>
      <c r="AX8" s="506"/>
      <c r="AY8" s="506"/>
      <c r="AZ8" s="506"/>
      <c r="BA8" s="506"/>
      <c r="BB8" s="506"/>
      <c r="BC8" s="506"/>
      <c r="BD8" s="506"/>
      <c r="BE8" s="506"/>
      <c r="BF8" s="506"/>
      <c r="BG8" s="506"/>
      <c r="BH8" s="506"/>
      <c r="BI8" s="506"/>
      <c r="BJ8" s="506"/>
      <c r="BK8" s="506"/>
      <c r="BL8" s="506"/>
      <c r="BM8" s="506"/>
      <c r="BN8" s="506"/>
      <c r="BO8" s="506"/>
      <c r="BP8" s="506"/>
      <c r="BQ8" s="506"/>
      <c r="BR8" s="506"/>
      <c r="BS8" s="506"/>
      <c r="BT8" s="506"/>
      <c r="BU8" s="506"/>
      <c r="BV8" s="506"/>
    </row>
    <row r="9" spans="1:108" s="116" customFormat="1" ht="30.75" customHeight="1" thickBot="1" x14ac:dyDescent="0.3">
      <c r="A9" s="131" t="s">
        <v>291</v>
      </c>
      <c r="B9" s="207"/>
      <c r="C9" s="283"/>
      <c r="D9" s="207">
        <v>246</v>
      </c>
      <c r="E9" s="283">
        <v>70</v>
      </c>
      <c r="F9" s="207">
        <v>49</v>
      </c>
      <c r="G9" s="283">
        <v>73</v>
      </c>
      <c r="H9" s="207">
        <v>13</v>
      </c>
      <c r="I9" s="283">
        <v>132</v>
      </c>
      <c r="J9" s="207">
        <v>828</v>
      </c>
      <c r="K9" s="283">
        <v>452</v>
      </c>
      <c r="L9" s="207"/>
      <c r="M9" s="283">
        <v>67</v>
      </c>
      <c r="N9" s="470">
        <f t="shared" si="0"/>
        <v>1136</v>
      </c>
      <c r="O9" s="471">
        <f t="shared" si="0"/>
        <v>794</v>
      </c>
      <c r="P9" s="207"/>
      <c r="Q9" s="283"/>
      <c r="R9" s="522">
        <f>'2021-22 ERC'!T181</f>
        <v>1033</v>
      </c>
      <c r="S9" s="522">
        <f>'2021-22 ERC'!U181</f>
        <v>762</v>
      </c>
      <c r="T9" s="303">
        <f t="shared" si="1"/>
        <v>1136</v>
      </c>
      <c r="U9" s="304">
        <f t="shared" si="1"/>
        <v>794</v>
      </c>
      <c r="V9" s="299">
        <f t="shared" si="2"/>
        <v>1.0997095837366893</v>
      </c>
      <c r="W9" s="300">
        <f t="shared" si="3"/>
        <v>1.041994750656168</v>
      </c>
      <c r="X9" s="506"/>
      <c r="Y9" s="506"/>
      <c r="Z9" s="506"/>
      <c r="AA9" s="506"/>
      <c r="AB9" s="506"/>
      <c r="AC9" s="506"/>
      <c r="AD9" s="506"/>
      <c r="AE9" s="506"/>
      <c r="AF9" s="506"/>
      <c r="AG9" s="506"/>
      <c r="AH9" s="506"/>
      <c r="AI9" s="506"/>
      <c r="AJ9" s="506"/>
      <c r="AK9" s="506"/>
      <c r="AL9" s="506"/>
      <c r="AM9" s="506"/>
      <c r="AN9" s="506"/>
      <c r="AO9" s="506"/>
      <c r="AP9" s="506"/>
      <c r="AQ9" s="506"/>
      <c r="AR9" s="506"/>
      <c r="AS9" s="506"/>
      <c r="AT9" s="506"/>
      <c r="AU9" s="506"/>
      <c r="AV9" s="506"/>
      <c r="AW9" s="506"/>
      <c r="AX9" s="506"/>
      <c r="AY9" s="506"/>
      <c r="AZ9" s="506"/>
      <c r="BA9" s="506"/>
      <c r="BB9" s="506"/>
      <c r="BC9" s="506"/>
      <c r="BD9" s="506"/>
      <c r="BE9" s="506"/>
      <c r="BF9" s="506"/>
      <c r="BG9" s="506"/>
      <c r="BH9" s="506"/>
      <c r="BI9" s="506"/>
      <c r="BJ9" s="506"/>
      <c r="BK9" s="506"/>
      <c r="BL9" s="506"/>
      <c r="BM9" s="506"/>
      <c r="BN9" s="506"/>
      <c r="BO9" s="506"/>
      <c r="BP9" s="506"/>
      <c r="BQ9" s="506"/>
      <c r="BR9" s="506"/>
      <c r="BS9" s="506"/>
      <c r="BT9" s="506"/>
      <c r="BU9" s="506"/>
      <c r="BV9" s="506"/>
    </row>
    <row r="10" spans="1:108" s="116" customFormat="1" ht="15.75" thickBot="1" x14ac:dyDescent="0.3">
      <c r="A10" s="885" t="s">
        <v>292</v>
      </c>
      <c r="B10" s="306">
        <f t="shared" ref="B10:M10" si="4">SUM(B6:B9)</f>
        <v>503</v>
      </c>
      <c r="C10" s="306">
        <f>SUM(C6:C9)</f>
        <v>0</v>
      </c>
      <c r="D10" s="305">
        <f t="shared" si="4"/>
        <v>788</v>
      </c>
      <c r="E10" s="306">
        <f t="shared" si="4"/>
        <v>612</v>
      </c>
      <c r="F10" s="305">
        <f t="shared" si="4"/>
        <v>167</v>
      </c>
      <c r="G10" s="306">
        <f t="shared" si="4"/>
        <v>421</v>
      </c>
      <c r="H10" s="305">
        <f t="shared" si="4"/>
        <v>839</v>
      </c>
      <c r="I10" s="306">
        <f t="shared" si="4"/>
        <v>648</v>
      </c>
      <c r="J10" s="305">
        <f t="shared" si="4"/>
        <v>4629</v>
      </c>
      <c r="K10" s="306">
        <f t="shared" si="4"/>
        <v>1273</v>
      </c>
      <c r="L10" s="305">
        <f t="shared" si="4"/>
        <v>402</v>
      </c>
      <c r="M10" s="306">
        <f t="shared" si="4"/>
        <v>230</v>
      </c>
      <c r="N10" s="309">
        <f t="shared" ref="N10:U10" si="5">SUM(N6:N9)</f>
        <v>7328</v>
      </c>
      <c r="O10" s="309">
        <f t="shared" si="5"/>
        <v>3184</v>
      </c>
      <c r="P10" s="305">
        <f t="shared" si="5"/>
        <v>264</v>
      </c>
      <c r="Q10" s="306">
        <f t="shared" si="5"/>
        <v>39</v>
      </c>
      <c r="R10" s="132">
        <f>SUM(R6:R9)</f>
        <v>7054</v>
      </c>
      <c r="S10" s="133">
        <f>SUM(S6:S9)</f>
        <v>2573</v>
      </c>
      <c r="T10" s="305">
        <f t="shared" si="5"/>
        <v>7592</v>
      </c>
      <c r="U10" s="306">
        <f t="shared" si="5"/>
        <v>3223</v>
      </c>
      <c r="V10" s="307">
        <f>IFERROR(T10/R10,0)</f>
        <v>1.0762687836688403</v>
      </c>
      <c r="W10" s="308">
        <f>IFERROR(U10/S10,0)</f>
        <v>1.2526233968130587</v>
      </c>
      <c r="AG10" s="506"/>
      <c r="AH10" s="506"/>
      <c r="AI10" s="506"/>
      <c r="AJ10" s="506"/>
      <c r="AK10" s="506"/>
      <c r="AL10" s="506"/>
      <c r="AM10" s="506"/>
      <c r="AN10" s="506"/>
      <c r="AO10" s="506"/>
      <c r="AP10" s="506"/>
      <c r="AQ10" s="506"/>
      <c r="AR10" s="506"/>
      <c r="AS10" s="506"/>
      <c r="AT10" s="506"/>
      <c r="AU10" s="506"/>
      <c r="AV10" s="506"/>
      <c r="AW10" s="506"/>
      <c r="AX10" s="506"/>
      <c r="AY10" s="506"/>
      <c r="AZ10" s="506"/>
      <c r="BA10" s="506"/>
      <c r="BB10" s="506"/>
      <c r="BC10" s="506"/>
      <c r="BD10" s="506"/>
      <c r="BE10" s="506"/>
      <c r="BF10" s="506"/>
      <c r="BG10" s="506"/>
      <c r="BH10" s="506"/>
      <c r="BI10" s="506"/>
      <c r="BJ10" s="506"/>
      <c r="BK10" s="506"/>
      <c r="BL10" s="506"/>
      <c r="BM10" s="506"/>
      <c r="BN10" s="506"/>
      <c r="BO10" s="506"/>
      <c r="BP10" s="506"/>
      <c r="BQ10" s="506"/>
      <c r="BR10" s="506"/>
      <c r="BS10" s="506"/>
      <c r="BT10" s="506"/>
      <c r="BU10" s="506"/>
      <c r="BV10" s="506"/>
      <c r="BW10" s="506"/>
      <c r="BX10" s="506"/>
      <c r="BY10" s="506"/>
      <c r="BZ10" s="506"/>
      <c r="CA10" s="506"/>
      <c r="CB10" s="506"/>
      <c r="CC10" s="506"/>
      <c r="CD10" s="506"/>
      <c r="CE10" s="506"/>
      <c r="CF10" s="506"/>
      <c r="CG10" s="506"/>
      <c r="CH10" s="506"/>
      <c r="CI10" s="506"/>
      <c r="CJ10" s="506"/>
      <c r="CK10" s="506"/>
      <c r="CL10" s="506"/>
      <c r="CM10" s="506"/>
      <c r="CN10" s="506"/>
      <c r="CO10" s="506"/>
      <c r="CP10" s="506"/>
    </row>
    <row r="11" spans="1:108" s="116" customFormat="1" ht="15.75" thickBot="1" x14ac:dyDescent="0.3">
      <c r="A11" s="894"/>
      <c r="B11" s="910">
        <f>SUM(B10:C10)</f>
        <v>503</v>
      </c>
      <c r="C11" s="911"/>
      <c r="D11" s="910">
        <f t="shared" ref="D11" si="6">SUM(D10:E10)</f>
        <v>1400</v>
      </c>
      <c r="E11" s="911"/>
      <c r="F11" s="910">
        <f t="shared" ref="F11" si="7">SUM(F10:G10)</f>
        <v>588</v>
      </c>
      <c r="G11" s="911"/>
      <c r="H11" s="910">
        <f t="shared" ref="H11" si="8">SUM(H10:I10)</f>
        <v>1487</v>
      </c>
      <c r="I11" s="911"/>
      <c r="J11" s="910">
        <f t="shared" ref="J11" si="9">SUM(J10:K10)</f>
        <v>5902</v>
      </c>
      <c r="K11" s="911"/>
      <c r="L11" s="910">
        <f t="shared" ref="L11" si="10">SUM(L10:M10)</f>
        <v>632</v>
      </c>
      <c r="M11" s="911"/>
      <c r="N11" s="910">
        <f>SUM(N10:O10)</f>
        <v>10512</v>
      </c>
      <c r="O11" s="911"/>
      <c r="P11" s="910">
        <f>SUM(P10:Q10)</f>
        <v>303</v>
      </c>
      <c r="Q11" s="911"/>
      <c r="R11" s="912">
        <f>SUM(R10:S10)</f>
        <v>9627</v>
      </c>
      <c r="S11" s="913"/>
      <c r="T11" s="910">
        <f>SUM(T10:U10)</f>
        <v>10815</v>
      </c>
      <c r="U11" s="911"/>
      <c r="V11" s="527"/>
      <c r="W11" s="528"/>
      <c r="AG11" s="506"/>
      <c r="AH11" s="506"/>
      <c r="AI11" s="506"/>
      <c r="AJ11" s="506"/>
      <c r="AK11" s="506"/>
      <c r="AL11" s="506"/>
      <c r="AM11" s="506"/>
      <c r="AN11" s="506"/>
      <c r="AO11" s="506"/>
      <c r="AP11" s="506"/>
      <c r="AQ11" s="506"/>
      <c r="AR11" s="506"/>
      <c r="AS11" s="506"/>
      <c r="AT11" s="506"/>
      <c r="AU11" s="506"/>
      <c r="AV11" s="506"/>
      <c r="AW11" s="506"/>
      <c r="AX11" s="506"/>
      <c r="AY11" s="506"/>
      <c r="AZ11" s="506"/>
      <c r="BA11" s="506"/>
      <c r="BB11" s="506"/>
      <c r="BC11" s="506"/>
      <c r="BD11" s="506"/>
      <c r="BE11" s="506"/>
      <c r="BF11" s="506"/>
      <c r="BG11" s="506"/>
      <c r="BH11" s="506"/>
      <c r="BI11" s="506"/>
      <c r="BJ11" s="506"/>
      <c r="BK11" s="506"/>
      <c r="BL11" s="506"/>
      <c r="BM11" s="506"/>
      <c r="BN11" s="506"/>
      <c r="BO11" s="506"/>
      <c r="BP11" s="506"/>
      <c r="BQ11" s="506"/>
      <c r="BR11" s="506"/>
      <c r="BS11" s="506"/>
      <c r="BT11" s="506"/>
      <c r="BU11" s="506"/>
      <c r="BV11" s="506"/>
      <c r="BW11" s="506"/>
      <c r="BX11" s="506"/>
      <c r="BY11" s="506"/>
      <c r="BZ11" s="506"/>
      <c r="CA11" s="506"/>
      <c r="CB11" s="506"/>
      <c r="CC11" s="506"/>
      <c r="CD11" s="506"/>
      <c r="CE11" s="506"/>
      <c r="CF11" s="506"/>
      <c r="CG11" s="506"/>
      <c r="CH11" s="506"/>
      <c r="CI11" s="506"/>
      <c r="CJ11" s="506"/>
      <c r="CK11" s="506"/>
      <c r="CL11" s="506"/>
      <c r="CM11" s="506"/>
      <c r="CN11" s="506"/>
      <c r="CO11" s="506"/>
      <c r="CP11" s="506"/>
    </row>
    <row r="12" spans="1:108" s="116" customFormat="1" ht="30.75" thickBot="1" x14ac:dyDescent="0.3">
      <c r="A12" s="329" t="s">
        <v>293</v>
      </c>
      <c r="B12" s="891">
        <f>'2021-22 ERC'!B184</f>
        <v>1.6784641784641785E-2</v>
      </c>
      <c r="C12" s="892"/>
      <c r="D12" s="891">
        <f>'2021-22 ERC'!D184</f>
        <v>7.7059202059202053E-2</v>
      </c>
      <c r="E12" s="892"/>
      <c r="F12" s="891">
        <f>'2021-22 ERC'!F184</f>
        <v>3.3140283140283139E-2</v>
      </c>
      <c r="G12" s="892"/>
      <c r="H12" s="891">
        <f>'2021-22 ERC'!H184</f>
        <v>6.874731874731875E-2</v>
      </c>
      <c r="I12" s="892"/>
      <c r="J12" s="891">
        <f>'2021-22 ERC'!J184</f>
        <v>0.28844916344916344</v>
      </c>
      <c r="K12" s="892"/>
      <c r="L12" s="891">
        <f>'2021-22 ERC'!L184</f>
        <v>2.8314028314028315E-2</v>
      </c>
      <c r="M12" s="892"/>
      <c r="N12" s="891">
        <f>'2021-22 ERC'!N184</f>
        <v>0.51249463749463753</v>
      </c>
      <c r="O12" s="892"/>
      <c r="P12" s="891">
        <f>'2021-22 ERC'!P184</f>
        <v>3.7537537537537537E-3</v>
      </c>
      <c r="Q12" s="892"/>
      <c r="R12" s="891">
        <f>'2021-22 ERC'!T184</f>
        <v>0.51624839124839128</v>
      </c>
      <c r="S12" s="892"/>
      <c r="T12" s="906"/>
      <c r="U12" s="907"/>
      <c r="V12" s="904"/>
      <c r="W12" s="905"/>
      <c r="AG12" s="506"/>
      <c r="AH12" s="506"/>
      <c r="AI12" s="506"/>
      <c r="AJ12" s="506"/>
      <c r="AK12" s="506"/>
      <c r="AL12" s="506"/>
      <c r="AM12" s="506"/>
      <c r="AN12" s="506"/>
      <c r="AO12" s="506"/>
      <c r="AP12" s="506"/>
      <c r="AQ12" s="506"/>
      <c r="AR12" s="506"/>
      <c r="AS12" s="506"/>
      <c r="AT12" s="506"/>
      <c r="AU12" s="506"/>
      <c r="AV12" s="506"/>
      <c r="AW12" s="506"/>
      <c r="AX12" s="506"/>
      <c r="AY12" s="506"/>
      <c r="AZ12" s="506"/>
      <c r="BA12" s="506"/>
      <c r="BB12" s="506"/>
      <c r="BC12" s="506"/>
      <c r="BD12" s="506"/>
      <c r="BE12" s="506"/>
      <c r="BF12" s="506"/>
      <c r="BG12" s="506"/>
      <c r="BH12" s="506"/>
      <c r="BI12" s="506"/>
      <c r="BJ12" s="506"/>
      <c r="BK12" s="506"/>
      <c r="BL12" s="506"/>
      <c r="BM12" s="506"/>
      <c r="BN12" s="506"/>
      <c r="BO12" s="506"/>
      <c r="BP12" s="506"/>
      <c r="BQ12" s="506"/>
      <c r="BR12" s="506"/>
      <c r="BS12" s="506"/>
      <c r="BT12" s="506"/>
      <c r="BU12" s="506"/>
      <c r="BV12" s="506"/>
      <c r="BW12" s="506"/>
      <c r="BX12" s="506"/>
      <c r="BY12" s="506"/>
      <c r="BZ12" s="506"/>
      <c r="CA12" s="506"/>
      <c r="CB12" s="506"/>
      <c r="CC12" s="506"/>
      <c r="CD12" s="506"/>
      <c r="CE12" s="506"/>
      <c r="CF12" s="506"/>
      <c r="CG12" s="506"/>
      <c r="CH12" s="506"/>
      <c r="CI12" s="506"/>
      <c r="CJ12" s="506"/>
      <c r="CK12" s="506"/>
      <c r="CL12" s="506"/>
      <c r="CM12" s="506"/>
      <c r="CN12" s="506"/>
      <c r="CO12" s="506"/>
      <c r="CP12" s="506"/>
    </row>
    <row r="13" spans="1:108" s="116" customFormat="1" ht="30.75" customHeight="1" thickBot="1" x14ac:dyDescent="0.3">
      <c r="A13" s="266" t="s">
        <v>294</v>
      </c>
      <c r="B13" s="914">
        <f>IFERROR(B11/$G$31,0)</f>
        <v>2.6237546293881385E-2</v>
      </c>
      <c r="C13" s="915"/>
      <c r="D13" s="914">
        <f t="shared" ref="D13" si="11">IFERROR(D11/$G$31,0)</f>
        <v>7.3026967815972038E-2</v>
      </c>
      <c r="E13" s="915"/>
      <c r="F13" s="914">
        <f t="shared" ref="F13" si="12">IFERROR(F11/$G$31,0)</f>
        <v>3.0671326482708258E-2</v>
      </c>
      <c r="G13" s="915"/>
      <c r="H13" s="914">
        <f t="shared" ref="H13" si="13">IFERROR(H11/$G$31,0)</f>
        <v>7.7565072244536015E-2</v>
      </c>
      <c r="I13" s="915"/>
      <c r="J13" s="914">
        <f t="shared" ref="J13" si="14">IFERROR(J11/$G$31,0)</f>
        <v>0.30786083146419069</v>
      </c>
      <c r="K13" s="915"/>
      <c r="L13" s="914">
        <f t="shared" ref="L13" si="15">IFERROR(L11/$G$31,0)</f>
        <v>3.296645975692452E-2</v>
      </c>
      <c r="M13" s="915"/>
      <c r="N13" s="914">
        <f t="shared" ref="N13" si="16">IFERROR(N11/$G$31,0)</f>
        <v>0.54832820405821292</v>
      </c>
      <c r="O13" s="915"/>
      <c r="P13" s="914">
        <f t="shared" ref="P13" si="17">IFERROR(P11/$G$31,0)</f>
        <v>1.5805122320171092E-2</v>
      </c>
      <c r="Q13" s="915"/>
      <c r="R13" s="914">
        <f>IFERROR(R11/$G$31,0)</f>
        <v>0.50216472797454492</v>
      </c>
      <c r="S13" s="915"/>
      <c r="T13" s="904"/>
      <c r="U13" s="905"/>
      <c r="V13" s="904"/>
      <c r="W13" s="905"/>
      <c r="AG13" s="506"/>
      <c r="AH13" s="506"/>
      <c r="AI13" s="506"/>
      <c r="AJ13" s="506"/>
      <c r="AK13" s="506"/>
      <c r="AL13" s="506"/>
      <c r="AM13" s="506"/>
      <c r="AN13" s="506"/>
      <c r="AO13" s="506"/>
      <c r="AP13" s="506"/>
      <c r="AQ13" s="506"/>
      <c r="AR13" s="506"/>
      <c r="AS13" s="506"/>
      <c r="AT13" s="506"/>
      <c r="AU13" s="506"/>
      <c r="AV13" s="506"/>
      <c r="AW13" s="506"/>
      <c r="AX13" s="506"/>
      <c r="AY13" s="506"/>
      <c r="AZ13" s="506"/>
      <c r="BA13" s="506"/>
      <c r="BB13" s="506"/>
      <c r="BC13" s="506"/>
      <c r="BD13" s="506"/>
      <c r="BE13" s="506"/>
      <c r="BF13" s="506"/>
      <c r="BG13" s="506"/>
      <c r="BH13" s="506"/>
      <c r="BI13" s="506"/>
      <c r="BJ13" s="506"/>
      <c r="BK13" s="506"/>
      <c r="BL13" s="506"/>
      <c r="BM13" s="506"/>
      <c r="BN13" s="506"/>
      <c r="BO13" s="506"/>
      <c r="BP13" s="506"/>
      <c r="BQ13" s="506"/>
      <c r="BR13" s="506"/>
      <c r="BS13" s="506"/>
      <c r="BT13" s="506"/>
      <c r="BU13" s="506"/>
      <c r="BV13" s="506"/>
      <c r="BW13" s="506"/>
      <c r="BX13" s="506"/>
      <c r="BY13" s="506"/>
      <c r="BZ13" s="506"/>
      <c r="CA13" s="506"/>
      <c r="CB13" s="506"/>
      <c r="CC13" s="506"/>
      <c r="CD13" s="506"/>
      <c r="CE13" s="506"/>
      <c r="CF13" s="506"/>
      <c r="CG13" s="506"/>
      <c r="CH13" s="506"/>
      <c r="CI13" s="506"/>
      <c r="CJ13" s="506"/>
      <c r="CK13" s="506"/>
      <c r="CL13" s="506"/>
      <c r="CM13" s="506"/>
      <c r="CN13" s="506"/>
      <c r="CO13" s="506"/>
      <c r="CP13" s="506"/>
    </row>
    <row r="14" spans="1:108" s="481" customFormat="1" x14ac:dyDescent="0.25">
      <c r="A14" s="164"/>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480"/>
      <c r="AV14" s="480"/>
      <c r="AW14" s="480"/>
      <c r="AX14" s="480"/>
      <c r="AY14" s="480"/>
      <c r="AZ14" s="480"/>
      <c r="BA14" s="480"/>
      <c r="BB14" s="480"/>
      <c r="BC14" s="480"/>
      <c r="BD14" s="480"/>
      <c r="BE14" s="480"/>
      <c r="BF14" s="480"/>
      <c r="BG14" s="480"/>
      <c r="BH14" s="480"/>
      <c r="BI14" s="480"/>
      <c r="BJ14" s="480"/>
      <c r="BK14" s="480"/>
      <c r="BL14" s="480"/>
      <c r="BM14" s="480"/>
      <c r="BN14" s="480"/>
      <c r="BO14" s="480"/>
      <c r="BP14" s="480"/>
      <c r="BQ14" s="480"/>
      <c r="BR14" s="480"/>
      <c r="BS14" s="480"/>
      <c r="BT14" s="480"/>
      <c r="BU14" s="480"/>
      <c r="BV14" s="480"/>
      <c r="BW14" s="480"/>
      <c r="BX14" s="480"/>
      <c r="BY14" s="480"/>
      <c r="BZ14" s="480"/>
      <c r="CA14" s="480"/>
      <c r="CB14" s="480"/>
      <c r="CC14" s="480"/>
      <c r="CD14" s="480"/>
      <c r="CE14" s="480"/>
      <c r="CF14" s="480"/>
      <c r="CG14" s="480"/>
      <c r="CH14" s="480"/>
      <c r="CI14" s="480"/>
      <c r="CJ14" s="480"/>
      <c r="CK14" s="480"/>
      <c r="CL14" s="480"/>
      <c r="CM14" s="480"/>
      <c r="CN14" s="480"/>
      <c r="CO14" s="480"/>
      <c r="CP14" s="480"/>
      <c r="CQ14" s="480"/>
      <c r="CR14" s="480"/>
      <c r="CS14" s="480"/>
      <c r="CT14" s="480"/>
      <c r="CU14" s="480"/>
      <c r="CV14" s="480"/>
      <c r="CW14" s="480"/>
      <c r="CX14" s="480"/>
      <c r="CY14" s="480"/>
      <c r="CZ14" s="480"/>
      <c r="DA14" s="480"/>
      <c r="DB14" s="480"/>
      <c r="DC14" s="480"/>
      <c r="DD14" s="480"/>
    </row>
    <row r="15" spans="1:108" ht="15.75" thickBot="1" x14ac:dyDescent="0.3"/>
    <row r="16" spans="1:108" ht="19.5" thickBot="1" x14ac:dyDescent="0.35">
      <c r="A16" s="919" t="s">
        <v>295</v>
      </c>
      <c r="B16" s="920"/>
      <c r="C16" s="920"/>
      <c r="D16" s="920"/>
      <c r="E16" s="920"/>
      <c r="F16" s="920"/>
      <c r="G16" s="920"/>
      <c r="H16" s="920"/>
      <c r="I16" s="920"/>
      <c r="J16" s="920"/>
      <c r="K16" s="920"/>
      <c r="L16" s="920"/>
      <c r="M16" s="920"/>
      <c r="N16" s="920"/>
      <c r="O16" s="920"/>
      <c r="P16" s="920"/>
      <c r="Q16" s="920"/>
      <c r="R16" s="920"/>
      <c r="S16" s="920"/>
      <c r="T16" s="920"/>
      <c r="U16" s="920"/>
      <c r="V16" s="920"/>
      <c r="W16" s="921"/>
    </row>
    <row r="17" spans="1:108" ht="45" customHeight="1" x14ac:dyDescent="0.25">
      <c r="A17" s="844" t="s">
        <v>277</v>
      </c>
      <c r="B17" s="898" t="s">
        <v>278</v>
      </c>
      <c r="C17" s="899"/>
      <c r="D17" s="898" t="s">
        <v>279</v>
      </c>
      <c r="E17" s="900"/>
      <c r="F17" s="898" t="s">
        <v>280</v>
      </c>
      <c r="G17" s="899"/>
      <c r="H17" s="898" t="s">
        <v>281</v>
      </c>
      <c r="I17" s="899"/>
      <c r="J17" s="898" t="s">
        <v>282</v>
      </c>
      <c r="K17" s="899"/>
      <c r="L17" s="898" t="s">
        <v>283</v>
      </c>
      <c r="M17" s="899"/>
      <c r="N17" s="898" t="s">
        <v>284</v>
      </c>
      <c r="O17" s="899"/>
      <c r="P17" s="898" t="s">
        <v>285</v>
      </c>
      <c r="Q17" s="899"/>
      <c r="R17" s="898" t="s">
        <v>286</v>
      </c>
      <c r="S17" s="899"/>
      <c r="T17" s="898" t="s">
        <v>287</v>
      </c>
      <c r="U17" s="899"/>
      <c r="V17" s="898" t="s">
        <v>288</v>
      </c>
      <c r="W17" s="899"/>
    </row>
    <row r="18" spans="1:108" ht="15.75" thickBot="1" x14ac:dyDescent="0.3">
      <c r="A18" s="897"/>
      <c r="B18" s="31" t="s">
        <v>158</v>
      </c>
      <c r="C18" s="219" t="s">
        <v>156</v>
      </c>
      <c r="D18" s="31" t="s">
        <v>158</v>
      </c>
      <c r="E18" s="219" t="s">
        <v>156</v>
      </c>
      <c r="F18" s="31" t="s">
        <v>158</v>
      </c>
      <c r="G18" s="219" t="s">
        <v>156</v>
      </c>
      <c r="H18" s="31" t="s">
        <v>158</v>
      </c>
      <c r="I18" s="219" t="s">
        <v>156</v>
      </c>
      <c r="J18" s="31" t="s">
        <v>158</v>
      </c>
      <c r="K18" s="219" t="s">
        <v>156</v>
      </c>
      <c r="L18" s="31" t="s">
        <v>158</v>
      </c>
      <c r="M18" s="219" t="s">
        <v>156</v>
      </c>
      <c r="N18" s="31" t="s">
        <v>158</v>
      </c>
      <c r="O18" s="219" t="s">
        <v>156</v>
      </c>
      <c r="P18" s="31" t="s">
        <v>158</v>
      </c>
      <c r="Q18" s="219" t="s">
        <v>156</v>
      </c>
      <c r="R18" s="31" t="s">
        <v>158</v>
      </c>
      <c r="S18" s="219" t="s">
        <v>156</v>
      </c>
      <c r="T18" s="31" t="s">
        <v>158</v>
      </c>
      <c r="U18" s="219" t="s">
        <v>156</v>
      </c>
      <c r="V18" s="31" t="s">
        <v>158</v>
      </c>
      <c r="W18" s="262" t="s">
        <v>156</v>
      </c>
    </row>
    <row r="19" spans="1:108" ht="31.5" customHeight="1" thickBot="1" x14ac:dyDescent="0.3">
      <c r="A19" s="129" t="s">
        <v>289</v>
      </c>
      <c r="B19" s="279"/>
      <c r="C19" s="280"/>
      <c r="D19" s="279">
        <v>6</v>
      </c>
      <c r="E19" s="280">
        <v>15</v>
      </c>
      <c r="F19" s="279">
        <v>40</v>
      </c>
      <c r="G19" s="280">
        <v>14</v>
      </c>
      <c r="H19" s="279">
        <v>225</v>
      </c>
      <c r="I19" s="280"/>
      <c r="J19" s="279">
        <v>589</v>
      </c>
      <c r="K19" s="280"/>
      <c r="L19" s="279"/>
      <c r="M19" s="280"/>
      <c r="N19" s="472">
        <f t="shared" ref="N19:N22" si="18">SUM(B19+D19+F19+H19+J19+L19)</f>
        <v>860</v>
      </c>
      <c r="O19" s="473">
        <f t="shared" ref="O19:O22" si="19">SUM(C19+E19+G19+I19+K19+M19)</f>
        <v>29</v>
      </c>
      <c r="P19" s="279">
        <v>48</v>
      </c>
      <c r="Q19" s="280"/>
      <c r="R19" s="522">
        <f>'2021-22 ERC'!T191</f>
        <v>109</v>
      </c>
      <c r="S19" s="529">
        <f>'2021-22 ERC'!U191</f>
        <v>28</v>
      </c>
      <c r="T19" s="284">
        <f>N19+P19</f>
        <v>908</v>
      </c>
      <c r="U19" s="285">
        <f t="shared" ref="T19:U22" si="20">O19+Q19</f>
        <v>29</v>
      </c>
      <c r="V19" s="286">
        <f>IFERROR(T19/R19,0)</f>
        <v>8.3302752293577988</v>
      </c>
      <c r="W19" s="287">
        <f>IFERROR(U19/S19,0)</f>
        <v>1.0357142857142858</v>
      </c>
    </row>
    <row r="20" spans="1:108" ht="30" customHeight="1" thickBot="1" x14ac:dyDescent="0.3">
      <c r="A20" s="130" t="s">
        <v>234</v>
      </c>
      <c r="B20" s="281">
        <v>299</v>
      </c>
      <c r="C20" s="282"/>
      <c r="D20" s="281">
        <v>87</v>
      </c>
      <c r="E20" s="282">
        <v>136</v>
      </c>
      <c r="F20" s="281"/>
      <c r="G20" s="282">
        <v>146</v>
      </c>
      <c r="H20" s="281">
        <v>59</v>
      </c>
      <c r="I20" s="282">
        <v>200</v>
      </c>
      <c r="J20" s="281">
        <v>271</v>
      </c>
      <c r="K20" s="282">
        <v>130</v>
      </c>
      <c r="L20" s="281">
        <v>23</v>
      </c>
      <c r="M20" s="282">
        <v>38</v>
      </c>
      <c r="N20" s="474">
        <f t="shared" si="18"/>
        <v>739</v>
      </c>
      <c r="O20" s="475">
        <f t="shared" si="19"/>
        <v>650</v>
      </c>
      <c r="P20" s="281">
        <v>4</v>
      </c>
      <c r="Q20" s="282"/>
      <c r="R20" s="530">
        <f>'2021-22 ERC'!T192</f>
        <v>551</v>
      </c>
      <c r="S20" s="531">
        <f>'2021-22 ERC'!U192</f>
        <v>521</v>
      </c>
      <c r="T20" s="288">
        <f t="shared" si="20"/>
        <v>743</v>
      </c>
      <c r="U20" s="289">
        <f t="shared" si="20"/>
        <v>650</v>
      </c>
      <c r="V20" s="286">
        <f t="shared" ref="V20:V22" si="21">IFERROR(T20/R20,0)</f>
        <v>1.3484573502722323</v>
      </c>
      <c r="W20" s="287">
        <f t="shared" ref="W20:W22" si="22">IFERROR(U20/S20,0)</f>
        <v>1.2476007677543186</v>
      </c>
    </row>
    <row r="21" spans="1:108" ht="30" customHeight="1" thickBot="1" x14ac:dyDescent="0.3">
      <c r="A21" s="130" t="s">
        <v>290</v>
      </c>
      <c r="B21" s="281">
        <v>8</v>
      </c>
      <c r="C21" s="282"/>
      <c r="D21" s="281">
        <v>189</v>
      </c>
      <c r="E21" s="282">
        <v>382</v>
      </c>
      <c r="F21" s="281">
        <v>18</v>
      </c>
      <c r="G21" s="282">
        <v>173</v>
      </c>
      <c r="H21" s="281">
        <v>86</v>
      </c>
      <c r="I21" s="282">
        <v>300</v>
      </c>
      <c r="J21" s="281">
        <v>454</v>
      </c>
      <c r="K21" s="282">
        <v>679</v>
      </c>
      <c r="L21" s="281">
        <v>185</v>
      </c>
      <c r="M21" s="282">
        <v>118</v>
      </c>
      <c r="N21" s="474">
        <f t="shared" si="18"/>
        <v>940</v>
      </c>
      <c r="O21" s="475">
        <f t="shared" si="19"/>
        <v>1652</v>
      </c>
      <c r="P21" s="281">
        <v>131</v>
      </c>
      <c r="Q21" s="282">
        <v>38</v>
      </c>
      <c r="R21" s="530">
        <f>'2021-22 ERC'!T193</f>
        <v>1442</v>
      </c>
      <c r="S21" s="531">
        <f>'2021-22 ERC'!U193</f>
        <v>1262</v>
      </c>
      <c r="T21" s="288">
        <f t="shared" si="20"/>
        <v>1071</v>
      </c>
      <c r="U21" s="289">
        <f t="shared" si="20"/>
        <v>1690</v>
      </c>
      <c r="V21" s="286">
        <f t="shared" si="21"/>
        <v>0.74271844660194175</v>
      </c>
      <c r="W21" s="287">
        <f t="shared" si="22"/>
        <v>1.3391442155309032</v>
      </c>
    </row>
    <row r="22" spans="1:108" ht="31.5" customHeight="1" thickBot="1" x14ac:dyDescent="0.3">
      <c r="A22" s="131" t="s">
        <v>291</v>
      </c>
      <c r="B22" s="207"/>
      <c r="C22" s="283"/>
      <c r="D22" s="207">
        <v>245</v>
      </c>
      <c r="E22" s="283">
        <v>70</v>
      </c>
      <c r="F22" s="207">
        <v>49</v>
      </c>
      <c r="G22" s="283">
        <v>73</v>
      </c>
      <c r="H22" s="207">
        <v>4</v>
      </c>
      <c r="I22" s="283">
        <v>131</v>
      </c>
      <c r="J22" s="207">
        <v>680</v>
      </c>
      <c r="K22" s="283">
        <v>448</v>
      </c>
      <c r="L22" s="207"/>
      <c r="M22" s="283">
        <v>67</v>
      </c>
      <c r="N22" s="476">
        <f t="shared" si="18"/>
        <v>978</v>
      </c>
      <c r="O22" s="477">
        <f t="shared" si="19"/>
        <v>789</v>
      </c>
      <c r="P22" s="207"/>
      <c r="Q22" s="283"/>
      <c r="R22" s="532">
        <f>'2021-22 ERC'!T194</f>
        <v>1126</v>
      </c>
      <c r="S22" s="533">
        <f>'2021-22 ERC'!U194</f>
        <v>762</v>
      </c>
      <c r="T22" s="290">
        <f t="shared" si="20"/>
        <v>978</v>
      </c>
      <c r="U22" s="291">
        <f t="shared" si="20"/>
        <v>789</v>
      </c>
      <c r="V22" s="286">
        <f t="shared" si="21"/>
        <v>0.86856127886323264</v>
      </c>
      <c r="W22" s="287">
        <f t="shared" si="22"/>
        <v>1.0354330708661417</v>
      </c>
    </row>
    <row r="23" spans="1:108" ht="15.75" thickBot="1" x14ac:dyDescent="0.3">
      <c r="A23" s="885" t="s">
        <v>292</v>
      </c>
      <c r="B23" s="293">
        <f>SUM(B19:B22)</f>
        <v>307</v>
      </c>
      <c r="C23" s="293">
        <f>SUM(C19:C22)</f>
        <v>0</v>
      </c>
      <c r="D23" s="292">
        <f t="shared" ref="D23:M23" si="23">SUM(D19:D22)</f>
        <v>527</v>
      </c>
      <c r="E23" s="293">
        <f t="shared" si="23"/>
        <v>603</v>
      </c>
      <c r="F23" s="292">
        <f>SUM(F19:F22)</f>
        <v>107</v>
      </c>
      <c r="G23" s="293">
        <f t="shared" si="23"/>
        <v>406</v>
      </c>
      <c r="H23" s="292">
        <f t="shared" si="23"/>
        <v>374</v>
      </c>
      <c r="I23" s="293">
        <f>SUM(I19:I22)</f>
        <v>631</v>
      </c>
      <c r="J23" s="292">
        <f t="shared" si="23"/>
        <v>1994</v>
      </c>
      <c r="K23" s="293">
        <f t="shared" si="23"/>
        <v>1257</v>
      </c>
      <c r="L23" s="292">
        <f t="shared" si="23"/>
        <v>208</v>
      </c>
      <c r="M23" s="293">
        <f t="shared" si="23"/>
        <v>223</v>
      </c>
      <c r="N23" s="296">
        <f>SUM(N19:N22)</f>
        <v>3517</v>
      </c>
      <c r="O23" s="296">
        <f t="shared" ref="O23" si="24">SUM(O19:O22)</f>
        <v>3120</v>
      </c>
      <c r="P23" s="292">
        <f>SUM(P19:P22)</f>
        <v>183</v>
      </c>
      <c r="Q23" s="293">
        <f t="shared" ref="Q23:S23" si="25">SUM(Q19:Q22)</f>
        <v>38</v>
      </c>
      <c r="R23" s="456">
        <f t="shared" si="25"/>
        <v>3228</v>
      </c>
      <c r="S23" s="457">
        <f t="shared" si="25"/>
        <v>2573</v>
      </c>
      <c r="T23" s="292">
        <f>SUM(T19:T22)</f>
        <v>3700</v>
      </c>
      <c r="U23" s="293">
        <f>SUM(U19:U22)</f>
        <v>3158</v>
      </c>
      <c r="V23" s="294">
        <f>IFERROR(T23/R23,0)</f>
        <v>1.1462205700123915</v>
      </c>
      <c r="W23" s="295">
        <f>IFERROR(U23/S23,0)</f>
        <v>1.2273610571317528</v>
      </c>
    </row>
    <row r="24" spans="1:108" ht="15.75" thickBot="1" x14ac:dyDescent="0.3">
      <c r="A24" s="894"/>
      <c r="B24" s="895">
        <f>SUM(B23:C23)</f>
        <v>307</v>
      </c>
      <c r="C24" s="896"/>
      <c r="D24" s="895">
        <f t="shared" ref="D24" si="26">SUM(D23:E23)</f>
        <v>1130</v>
      </c>
      <c r="E24" s="896"/>
      <c r="F24" s="895">
        <f t="shared" ref="F24" si="27">SUM(F23:G23)</f>
        <v>513</v>
      </c>
      <c r="G24" s="896"/>
      <c r="H24" s="895">
        <f t="shared" ref="H24" si="28">SUM(H23:I23)</f>
        <v>1005</v>
      </c>
      <c r="I24" s="896"/>
      <c r="J24" s="895">
        <f t="shared" ref="J24" si="29">SUM(J23:K23)</f>
        <v>3251</v>
      </c>
      <c r="K24" s="896"/>
      <c r="L24" s="895">
        <f t="shared" ref="L24" si="30">SUM(L23:M23)</f>
        <v>431</v>
      </c>
      <c r="M24" s="896"/>
      <c r="N24" s="895">
        <f t="shared" ref="N24" si="31">SUM(N23:O23)</f>
        <v>6637</v>
      </c>
      <c r="O24" s="896"/>
      <c r="P24" s="895">
        <f t="shared" ref="P24" si="32">SUM(P23:Q23)</f>
        <v>221</v>
      </c>
      <c r="Q24" s="896"/>
      <c r="R24" s="908">
        <f t="shared" ref="R24" si="33">SUM(R23:S23)</f>
        <v>5801</v>
      </c>
      <c r="S24" s="909"/>
      <c r="T24" s="895">
        <f>SUM(T23:U23)</f>
        <v>6858</v>
      </c>
      <c r="U24" s="896"/>
      <c r="V24" s="527"/>
      <c r="W24" s="528"/>
    </row>
    <row r="25" spans="1:108" ht="30.75" thickBot="1" x14ac:dyDescent="0.3">
      <c r="A25" s="329" t="s">
        <v>293</v>
      </c>
      <c r="B25" s="891">
        <f>'2021-22 ERC'!B197</f>
        <v>4.8854148161307518E-3</v>
      </c>
      <c r="C25" s="892"/>
      <c r="D25" s="891">
        <f>'2021-22 ERC'!D197</f>
        <v>9.7530644874755726E-2</v>
      </c>
      <c r="E25" s="892"/>
      <c r="F25" s="891">
        <f>'2021-22 ERC'!F197</f>
        <v>5.0275359744181916E-2</v>
      </c>
      <c r="G25" s="892"/>
      <c r="H25" s="891">
        <f>'2021-22 ERC'!H197</f>
        <v>5.4361343044945817E-2</v>
      </c>
      <c r="I25" s="892"/>
      <c r="J25" s="891">
        <f>'2021-22 ERC'!J197</f>
        <v>0.265233611653935</v>
      </c>
      <c r="K25" s="892"/>
      <c r="L25" s="891">
        <f>'2021-22 ERC'!L197</f>
        <v>3.6773849706875111E-2</v>
      </c>
      <c r="M25" s="892"/>
      <c r="N25" s="891">
        <f>'2021-22 ERC'!N197</f>
        <v>0.50906022384082428</v>
      </c>
      <c r="O25" s="892"/>
      <c r="P25" s="891">
        <f>'2021-22 ERC'!P19</f>
        <v>345</v>
      </c>
      <c r="Q25" s="892"/>
      <c r="R25" s="891">
        <f>'2021-22 ERC'!T197</f>
        <v>0.51527802451589977</v>
      </c>
      <c r="S25" s="892"/>
      <c r="T25" s="906"/>
      <c r="U25" s="907"/>
      <c r="V25" s="904"/>
      <c r="W25" s="905"/>
    </row>
    <row r="26" spans="1:108" ht="30.75" thickBot="1" x14ac:dyDescent="0.3">
      <c r="A26" s="266" t="s">
        <v>294</v>
      </c>
      <c r="B26" s="902">
        <f>IFERROR(B24/$G$33,0)</f>
        <v>2.8149642398679627E-2</v>
      </c>
      <c r="C26" s="903"/>
      <c r="D26" s="902">
        <f>IFERROR(D24/$G$33,0)</f>
        <v>0.10361269026224097</v>
      </c>
      <c r="E26" s="903"/>
      <c r="F26" s="902">
        <f t="shared" ref="F26" si="34">IFERROR(F24/$G$33,0)</f>
        <v>4.7038327526132406E-2</v>
      </c>
      <c r="G26" s="903"/>
      <c r="H26" s="902">
        <f t="shared" ref="H26" si="35">IFERROR(H24/$G$33,0)</f>
        <v>9.2151109481019622E-2</v>
      </c>
      <c r="I26" s="903"/>
      <c r="J26" s="902">
        <f t="shared" ref="J26" si="36">IFERROR(J24/$G$33,0)</f>
        <v>0.29809279295800478</v>
      </c>
      <c r="K26" s="903"/>
      <c r="L26" s="902">
        <f t="shared" ref="L26" si="37">IFERROR(L24/$G$33,0)</f>
        <v>3.9519530533651204E-2</v>
      </c>
      <c r="M26" s="903"/>
      <c r="N26" s="902">
        <f t="shared" ref="N26" si="38">IFERROR(N24/$G$33,0)</f>
        <v>0.60856409315972859</v>
      </c>
      <c r="O26" s="903"/>
      <c r="P26" s="902">
        <f>IFERROR(P24/$G$33,0)</f>
        <v>2.0264074821199341E-2</v>
      </c>
      <c r="Q26" s="903"/>
      <c r="R26" s="902">
        <f>IFERROR(R24/$G$33,0)</f>
        <v>0.53190904089492019</v>
      </c>
      <c r="S26" s="903"/>
      <c r="T26" s="904"/>
      <c r="U26" s="905"/>
      <c r="V26" s="904"/>
      <c r="W26" s="905"/>
    </row>
    <row r="28" spans="1:108" ht="15.75" thickBot="1" x14ac:dyDescent="0.3">
      <c r="J28" s="116"/>
      <c r="K28" s="116"/>
      <c r="L28" s="116"/>
      <c r="M28" s="116"/>
      <c r="N28" s="116"/>
      <c r="O28" s="116"/>
      <c r="P28" s="116"/>
    </row>
    <row r="29" spans="1:108" s="481" customFormat="1" ht="15.75" thickBot="1" x14ac:dyDescent="0.3">
      <c r="A29" s="164"/>
      <c r="E29" s="534" t="s">
        <v>158</v>
      </c>
      <c r="F29" s="534" t="s">
        <v>156</v>
      </c>
      <c r="G29" s="534" t="s">
        <v>296</v>
      </c>
      <c r="H29" s="116"/>
      <c r="I29" s="116"/>
      <c r="J29"/>
      <c r="K29"/>
      <c r="L29"/>
      <c r="M29"/>
      <c r="N29"/>
      <c r="O29"/>
      <c r="P29"/>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480"/>
      <c r="AV29" s="480"/>
      <c r="AW29" s="480"/>
      <c r="AX29" s="480"/>
      <c r="AY29" s="480"/>
      <c r="AZ29" s="480"/>
      <c r="BA29" s="480"/>
      <c r="BB29" s="480"/>
      <c r="BC29" s="480"/>
      <c r="BD29" s="480"/>
      <c r="BE29" s="480"/>
      <c r="BF29" s="480"/>
      <c r="BG29" s="480"/>
      <c r="BH29" s="480"/>
      <c r="BI29" s="480"/>
      <c r="BJ29" s="480"/>
      <c r="BK29" s="480"/>
      <c r="BL29" s="480"/>
      <c r="BM29" s="480"/>
      <c r="BN29" s="480"/>
      <c r="BO29" s="480"/>
      <c r="BP29" s="480"/>
      <c r="BQ29" s="480"/>
      <c r="BR29" s="480"/>
      <c r="BS29" s="480"/>
      <c r="BT29" s="480"/>
      <c r="BU29" s="480"/>
      <c r="BV29" s="480"/>
      <c r="BW29" s="480"/>
      <c r="BX29" s="480"/>
      <c r="BY29" s="480"/>
      <c r="BZ29" s="480"/>
      <c r="CA29" s="480"/>
      <c r="CB29" s="480"/>
      <c r="CC29" s="480"/>
      <c r="CD29" s="480"/>
      <c r="CE29" s="480"/>
      <c r="CF29" s="480"/>
      <c r="CG29" s="480"/>
      <c r="CH29" s="480"/>
      <c r="CI29" s="480"/>
      <c r="CJ29" s="480"/>
      <c r="CK29" s="480"/>
      <c r="CL29" s="480"/>
      <c r="CM29" s="480"/>
      <c r="CN29" s="480"/>
      <c r="CO29" s="480"/>
      <c r="CP29" s="480"/>
      <c r="CQ29" s="480"/>
      <c r="CR29" s="480"/>
      <c r="CS29" s="480"/>
      <c r="CT29" s="480"/>
      <c r="CU29" s="480"/>
      <c r="CV29" s="480"/>
      <c r="CW29" s="480"/>
      <c r="CX29" s="480"/>
      <c r="CY29" s="480"/>
      <c r="CZ29" s="480"/>
      <c r="DA29" s="480"/>
      <c r="DB29" s="480"/>
      <c r="DC29" s="480"/>
      <c r="DD29" s="480"/>
    </row>
    <row r="30" spans="1:108" ht="32.25" customHeight="1" thickBot="1" x14ac:dyDescent="0.3">
      <c r="A30" s="735" t="s">
        <v>297</v>
      </c>
      <c r="B30" s="893"/>
      <c r="C30" s="893"/>
      <c r="D30" s="893"/>
      <c r="E30" s="535">
        <f>'2021-22 ERC'!F29</f>
        <v>13546</v>
      </c>
      <c r="F30" s="535">
        <f>'2021-22 ERC'!G29</f>
        <v>5102</v>
      </c>
      <c r="G30" s="535">
        <f>'2021-22 ERC'!H29</f>
        <v>18648</v>
      </c>
    </row>
    <row r="31" spans="1:108" ht="28.5" customHeight="1" thickBot="1" x14ac:dyDescent="0.3">
      <c r="A31" s="735" t="s">
        <v>298</v>
      </c>
      <c r="B31" s="893"/>
      <c r="C31" s="893"/>
      <c r="D31" s="893"/>
      <c r="E31" s="535">
        <f>'Prog. Report ERC - 21-22 Quals'!F36</f>
        <v>14232</v>
      </c>
      <c r="F31" s="535">
        <f>'Prog. Report ERC - 21-22 Quals'!G36</f>
        <v>4939</v>
      </c>
      <c r="G31" s="535">
        <f>'Prog. Report ERC - 21-22 Quals'!H36</f>
        <v>19171</v>
      </c>
    </row>
    <row r="32" spans="1:108" ht="27" customHeight="1" thickBot="1" x14ac:dyDescent="0.3">
      <c r="A32" s="784" t="s">
        <v>299</v>
      </c>
      <c r="B32" s="901"/>
      <c r="C32" s="901"/>
      <c r="D32" s="901"/>
      <c r="E32" s="536">
        <f>'2021-22 ERC'!F61</f>
        <v>6156</v>
      </c>
      <c r="F32" s="536">
        <f>'2021-22 ERC'!G61</f>
        <v>5102</v>
      </c>
      <c r="G32" s="536">
        <f>'2021-22 ERC'!H61</f>
        <v>11258</v>
      </c>
    </row>
    <row r="33" spans="1:7" ht="30" customHeight="1" thickBot="1" x14ac:dyDescent="0.3">
      <c r="A33" s="784" t="s">
        <v>300</v>
      </c>
      <c r="B33" s="901"/>
      <c r="C33" s="901"/>
      <c r="D33" s="901"/>
      <c r="E33" s="536">
        <f>'Prog. Report ERC - 21-22 Quals'!F68</f>
        <v>6061</v>
      </c>
      <c r="F33" s="536">
        <f>'Prog. Report ERC - 21-22 Quals'!G68</f>
        <v>4845</v>
      </c>
      <c r="G33" s="536">
        <f>'Prog. Report ERC - 21-22 Quals'!H68</f>
        <v>10906</v>
      </c>
    </row>
    <row r="34" spans="1:7" x14ac:dyDescent="0.25">
      <c r="A34" s="890"/>
      <c r="B34" s="890"/>
      <c r="C34" s="890"/>
      <c r="D34" s="890"/>
      <c r="E34" s="519"/>
    </row>
    <row r="38" spans="1:7" ht="26.25" x14ac:dyDescent="0.4">
      <c r="B38" s="537"/>
    </row>
  </sheetData>
  <sheetProtection algorithmName="SHA-512" hashValue="N2MJDDEpPc1D0W0gPddecul3xFPylwe6zQWcnrO8UobdYlwlg2GyMbxhoKI6BcyHR82C2hwC0P4+gGIUtiWmDg==" saltValue="5yw8FXvCde3BK27WgSfC1w==" spinCount="100000" sheet="1" formatCells="0" formatColumns="0" formatRows="0" selectLockedCells="1"/>
  <mergeCells count="98">
    <mergeCell ref="V13:W13"/>
    <mergeCell ref="L11:M11"/>
    <mergeCell ref="B11:C11"/>
    <mergeCell ref="D11:E11"/>
    <mergeCell ref="F11:G11"/>
    <mergeCell ref="H11:I11"/>
    <mergeCell ref="J11:K11"/>
    <mergeCell ref="B13:C13"/>
    <mergeCell ref="D13:E13"/>
    <mergeCell ref="F13:G13"/>
    <mergeCell ref="H13:I13"/>
    <mergeCell ref="J13:K13"/>
    <mergeCell ref="A3:W3"/>
    <mergeCell ref="A16:W16"/>
    <mergeCell ref="A1:W1"/>
    <mergeCell ref="A4:A5"/>
    <mergeCell ref="B4:C4"/>
    <mergeCell ref="D4:E4"/>
    <mergeCell ref="F4:G4"/>
    <mergeCell ref="H4:I4"/>
    <mergeCell ref="J4:K4"/>
    <mergeCell ref="L4:M4"/>
    <mergeCell ref="N4:O4"/>
    <mergeCell ref="P4:Q4"/>
    <mergeCell ref="R4:S4"/>
    <mergeCell ref="T4:U4"/>
    <mergeCell ref="V4:W4"/>
    <mergeCell ref="A10:A11"/>
    <mergeCell ref="V17:W17"/>
    <mergeCell ref="V12:W12"/>
    <mergeCell ref="J12:K12"/>
    <mergeCell ref="L12:M12"/>
    <mergeCell ref="N11:O11"/>
    <mergeCell ref="P11:Q11"/>
    <mergeCell ref="R11:S11"/>
    <mergeCell ref="T11:U11"/>
    <mergeCell ref="L13:M13"/>
    <mergeCell ref="N13:O13"/>
    <mergeCell ref="P13:Q13"/>
    <mergeCell ref="R13:S13"/>
    <mergeCell ref="N12:O12"/>
    <mergeCell ref="P12:Q12"/>
    <mergeCell ref="R12:S12"/>
    <mergeCell ref="T13:U13"/>
    <mergeCell ref="J17:K17"/>
    <mergeCell ref="T12:U12"/>
    <mergeCell ref="R24:S24"/>
    <mergeCell ref="T24:U24"/>
    <mergeCell ref="J24:K24"/>
    <mergeCell ref="L24:M24"/>
    <mergeCell ref="N24:O24"/>
    <mergeCell ref="P24:Q24"/>
    <mergeCell ref="L17:M17"/>
    <mergeCell ref="N17:O17"/>
    <mergeCell ref="P17:Q17"/>
    <mergeCell ref="R17:S17"/>
    <mergeCell ref="T17:U17"/>
    <mergeCell ref="V25:W25"/>
    <mergeCell ref="J25:K25"/>
    <mergeCell ref="L25:M25"/>
    <mergeCell ref="N25:O25"/>
    <mergeCell ref="P25:Q25"/>
    <mergeCell ref="R25:S25"/>
    <mergeCell ref="T25:U25"/>
    <mergeCell ref="R26:S26"/>
    <mergeCell ref="T26:U26"/>
    <mergeCell ref="V26:W26"/>
    <mergeCell ref="A30:D30"/>
    <mergeCell ref="B26:C26"/>
    <mergeCell ref="D26:E26"/>
    <mergeCell ref="F26:G26"/>
    <mergeCell ref="H26:I26"/>
    <mergeCell ref="J26:K26"/>
    <mergeCell ref="L26:M26"/>
    <mergeCell ref="N26:O26"/>
    <mergeCell ref="P26:Q26"/>
    <mergeCell ref="B17:C17"/>
    <mergeCell ref="D17:E17"/>
    <mergeCell ref="F17:G17"/>
    <mergeCell ref="H17:I17"/>
    <mergeCell ref="A33:D33"/>
    <mergeCell ref="A32:D32"/>
    <mergeCell ref="A34:D34"/>
    <mergeCell ref="B12:C12"/>
    <mergeCell ref="D12:E12"/>
    <mergeCell ref="F12:G12"/>
    <mergeCell ref="H12:I12"/>
    <mergeCell ref="B25:C25"/>
    <mergeCell ref="D25:E25"/>
    <mergeCell ref="F25:G25"/>
    <mergeCell ref="H25:I25"/>
    <mergeCell ref="A31:D31"/>
    <mergeCell ref="A23:A24"/>
    <mergeCell ref="B24:C24"/>
    <mergeCell ref="D24:E24"/>
    <mergeCell ref="F24:G24"/>
    <mergeCell ref="H24:I24"/>
    <mergeCell ref="A17:A18"/>
  </mergeCells>
  <printOptions horizontalCentered="1"/>
  <pageMargins left="0.11811023622047245" right="0.11811023622047245" top="0.74803149606299213" bottom="0.74803149606299213" header="0.31496062992125984" footer="0.31496062992125984"/>
  <pageSetup paperSize="8" scale="70" fitToWidth="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S197"/>
  <sheetViews>
    <sheetView topLeftCell="A107" zoomScale="70" zoomScaleNormal="70" workbookViewId="0">
      <selection activeCell="M91" sqref="M91"/>
    </sheetView>
  </sheetViews>
  <sheetFormatPr defaultColWidth="9.140625" defaultRowHeight="15" outlineLevelCol="1" x14ac:dyDescent="0.25"/>
  <cols>
    <col min="1" max="1" width="17" style="164" customWidth="1"/>
    <col min="2" max="2" width="29.42578125" style="481" customWidth="1"/>
    <col min="3" max="3" width="9.28515625" style="481" customWidth="1"/>
    <col min="4" max="4" width="8" style="481" customWidth="1"/>
    <col min="5" max="5" width="8.140625" style="481" customWidth="1"/>
    <col min="6" max="6" width="9.28515625" style="116" customWidth="1"/>
    <col min="7" max="7" width="11.28515625" style="116" customWidth="1"/>
    <col min="8" max="8" width="10" style="116" customWidth="1"/>
    <col min="9" max="9" width="19.42578125" style="116" customWidth="1"/>
    <col min="10" max="10" width="12.140625" style="116" customWidth="1"/>
    <col min="11" max="11" width="13.140625" style="116" customWidth="1"/>
    <col min="12" max="12" width="10.85546875" style="116" customWidth="1"/>
    <col min="13" max="13" width="14.28515625" style="116" customWidth="1"/>
    <col min="14" max="14" width="11.140625" style="116" customWidth="1" outlineLevel="1"/>
    <col min="15" max="15" width="10.140625" style="116" customWidth="1" outlineLevel="1"/>
    <col min="16" max="17" width="9.28515625" style="116" customWidth="1" outlineLevel="1"/>
    <col min="18" max="18" width="9" style="116" customWidth="1" outlineLevel="1"/>
    <col min="19" max="19" width="9.5703125" style="116" customWidth="1" outlineLevel="1"/>
    <col min="20" max="20" width="10.7109375" style="116" customWidth="1" outlineLevel="1"/>
    <col min="21" max="21" width="13.28515625" style="116" customWidth="1" outlineLevel="1"/>
    <col min="22" max="22" width="8" style="116" customWidth="1" outlineLevel="1"/>
    <col min="23" max="23" width="15.7109375" style="116" customWidth="1" outlineLevel="1"/>
    <col min="24" max="24" width="13.28515625" style="116" customWidth="1" outlineLevel="1"/>
    <col min="25" max="25" width="12.140625" style="116" customWidth="1" outlineLevel="1"/>
    <col min="26" max="28" width="14" style="116" customWidth="1" outlineLevel="1"/>
    <col min="29" max="29" width="15.28515625" style="116" customWidth="1" outlineLevel="1"/>
    <col min="30" max="30" width="9.28515625" style="116" customWidth="1" outlineLevel="1"/>
    <col min="31" max="32" width="18.140625" style="116" customWidth="1" outlineLevel="1"/>
    <col min="33" max="41" width="9.28515625" style="116" customWidth="1" outlineLevel="1"/>
    <col min="42" max="42" width="7.5703125" style="116" customWidth="1" outlineLevel="1"/>
    <col min="43" max="43" width="8.140625" style="116" customWidth="1" outlineLevel="1"/>
    <col min="44" max="44" width="10.42578125" style="116" customWidth="1" outlineLevel="1"/>
    <col min="45" max="52" width="6.42578125" style="116" customWidth="1" outlineLevel="1"/>
    <col min="53" max="53" width="8.85546875" style="116" customWidth="1" outlineLevel="1"/>
    <col min="54" max="54" width="10.42578125" style="116" customWidth="1" outlineLevel="1"/>
    <col min="55" max="55" width="8.85546875" style="116" customWidth="1" outlineLevel="1"/>
    <col min="56" max="56" width="8.5703125" style="116" customWidth="1" outlineLevel="1"/>
    <col min="57" max="57" width="15.42578125" style="116" customWidth="1" outlineLevel="1"/>
    <col min="58" max="58" width="11.7109375" style="116" customWidth="1" outlineLevel="1"/>
    <col min="59" max="59" width="15.7109375" style="480" customWidth="1" outlineLevel="1"/>
    <col min="60" max="65" width="6.42578125" style="480" customWidth="1"/>
    <col min="66" max="120" width="9.140625" style="480"/>
    <col min="121" max="16384" width="9.140625" style="481"/>
  </cols>
  <sheetData>
    <row r="1" spans="1:122" ht="15.75" customHeight="1" x14ac:dyDescent="0.25">
      <c r="A1" s="702" t="s">
        <v>301</v>
      </c>
      <c r="B1" s="888"/>
      <c r="C1" s="888"/>
      <c r="D1" s="888"/>
      <c r="E1" s="888"/>
      <c r="F1" s="888"/>
      <c r="G1" s="888"/>
      <c r="H1" s="888"/>
      <c r="I1" s="888"/>
      <c r="J1" s="888"/>
      <c r="K1" s="888"/>
      <c r="L1" s="888"/>
      <c r="M1" s="888"/>
      <c r="N1" s="888"/>
      <c r="O1" s="888"/>
      <c r="P1" s="888"/>
      <c r="Q1" s="888"/>
      <c r="R1" s="888"/>
      <c r="S1" s="888"/>
      <c r="T1" s="888"/>
      <c r="U1" s="888"/>
      <c r="V1" s="888"/>
      <c r="W1" s="888"/>
      <c r="X1" s="888"/>
      <c r="Y1" s="889"/>
      <c r="Z1"/>
      <c r="AA1"/>
      <c r="AB1"/>
      <c r="AC1"/>
      <c r="AD1"/>
      <c r="AE1"/>
      <c r="AF1"/>
      <c r="AG1"/>
      <c r="AH1"/>
      <c r="AI1"/>
      <c r="AJ1"/>
      <c r="AK1"/>
      <c r="BB1" s="480"/>
      <c r="BC1" s="480"/>
      <c r="BD1" s="480"/>
      <c r="BE1" s="480"/>
      <c r="BF1" s="480"/>
      <c r="DL1" s="481"/>
      <c r="DM1" s="481"/>
      <c r="DN1" s="481"/>
      <c r="DO1" s="481"/>
      <c r="DP1" s="481"/>
    </row>
    <row r="2" spans="1:122" ht="15.75" thickBot="1" x14ac:dyDescent="0.3">
      <c r="BG2" s="116"/>
      <c r="BH2" s="116"/>
      <c r="DQ2" s="480"/>
      <c r="DR2" s="480"/>
    </row>
    <row r="3" spans="1:122" s="488" customFormat="1" ht="84" customHeight="1" x14ac:dyDescent="0.25">
      <c r="A3" s="925" t="s">
        <v>178</v>
      </c>
      <c r="B3" s="866"/>
      <c r="C3" s="711" t="s">
        <v>302</v>
      </c>
      <c r="D3" s="712"/>
      <c r="E3" s="713"/>
      <c r="F3" s="927" t="s">
        <v>303</v>
      </c>
      <c r="G3" s="928"/>
      <c r="H3" s="929"/>
      <c r="I3" s="927" t="s">
        <v>304</v>
      </c>
      <c r="J3" s="928"/>
      <c r="K3" s="928"/>
      <c r="L3" s="930" t="s">
        <v>182</v>
      </c>
      <c r="M3" s="931"/>
      <c r="N3" s="932" t="s">
        <v>183</v>
      </c>
      <c r="O3" s="933"/>
      <c r="P3" s="934" t="s">
        <v>184</v>
      </c>
      <c r="Q3" s="935"/>
      <c r="R3" s="936" t="s">
        <v>185</v>
      </c>
      <c r="S3" s="937"/>
      <c r="T3" s="948" t="s">
        <v>186</v>
      </c>
      <c r="U3" s="949"/>
      <c r="V3" s="950" t="s">
        <v>187</v>
      </c>
      <c r="W3" s="951"/>
      <c r="X3" s="952" t="s">
        <v>188</v>
      </c>
      <c r="Y3" s="953"/>
      <c r="Z3" s="954" t="s">
        <v>189</v>
      </c>
      <c r="AA3" s="955"/>
      <c r="AB3" s="331" t="s">
        <v>305</v>
      </c>
      <c r="AC3" s="331" t="s">
        <v>306</v>
      </c>
      <c r="AD3" s="116"/>
      <c r="AE3" s="487"/>
      <c r="AF3" s="487"/>
      <c r="AG3" s="487"/>
      <c r="AH3" s="487"/>
      <c r="AI3" s="487"/>
      <c r="AJ3" s="487"/>
      <c r="AK3" s="487"/>
      <c r="AL3" s="487"/>
      <c r="AM3" s="487"/>
      <c r="AN3" s="487"/>
      <c r="AO3" s="487"/>
      <c r="AP3" s="487"/>
      <c r="AQ3" s="487"/>
      <c r="AR3" s="487"/>
      <c r="AS3" s="487"/>
      <c r="AT3" s="487"/>
      <c r="AU3" s="487"/>
      <c r="AV3" s="487"/>
      <c r="AW3" s="487"/>
      <c r="AX3" s="487"/>
      <c r="AY3" s="487"/>
      <c r="AZ3" s="487"/>
      <c r="BA3" s="487"/>
      <c r="BB3" s="487"/>
      <c r="BC3" s="487"/>
      <c r="BD3" s="487"/>
      <c r="BE3" s="487"/>
      <c r="BF3" s="487"/>
      <c r="BG3" s="487"/>
      <c r="BH3" s="487"/>
      <c r="BI3" s="487"/>
      <c r="BJ3" s="487"/>
      <c r="BK3" s="487"/>
      <c r="BL3" s="487"/>
      <c r="BM3" s="487"/>
      <c r="BN3" s="487"/>
      <c r="BO3" s="487"/>
      <c r="BP3" s="487"/>
      <c r="BQ3" s="487"/>
      <c r="BR3" s="487"/>
      <c r="BS3" s="487"/>
      <c r="BT3" s="487"/>
      <c r="BU3" s="487"/>
      <c r="BV3" s="487"/>
      <c r="BW3" s="487"/>
      <c r="BX3" s="487"/>
      <c r="BY3" s="487"/>
      <c r="BZ3" s="487"/>
    </row>
    <row r="4" spans="1:122" s="488" customFormat="1" ht="15.75" customHeight="1" x14ac:dyDescent="0.25">
      <c r="A4" s="926"/>
      <c r="B4" s="868"/>
      <c r="C4" s="719" t="s">
        <v>192</v>
      </c>
      <c r="D4" s="728"/>
      <c r="E4" s="729"/>
      <c r="F4" s="956" t="s">
        <v>192</v>
      </c>
      <c r="G4" s="957"/>
      <c r="H4" s="958"/>
      <c r="I4" s="959" t="s">
        <v>192</v>
      </c>
      <c r="J4" s="960"/>
      <c r="K4" s="960"/>
      <c r="L4" s="961" t="s">
        <v>192</v>
      </c>
      <c r="M4" s="962"/>
      <c r="N4" s="963" t="s">
        <v>192</v>
      </c>
      <c r="O4" s="964"/>
      <c r="P4" s="965" t="s">
        <v>192</v>
      </c>
      <c r="Q4" s="966"/>
      <c r="R4" s="938" t="s">
        <v>192</v>
      </c>
      <c r="S4" s="939"/>
      <c r="T4" s="940" t="s">
        <v>192</v>
      </c>
      <c r="U4" s="941"/>
      <c r="V4" s="942" t="s">
        <v>192</v>
      </c>
      <c r="W4" s="943"/>
      <c r="X4" s="944" t="s">
        <v>192</v>
      </c>
      <c r="Y4" s="945"/>
      <c r="Z4" s="946" t="s">
        <v>192</v>
      </c>
      <c r="AA4" s="947"/>
      <c r="AB4" s="332" t="s">
        <v>192</v>
      </c>
      <c r="AC4" s="332" t="s">
        <v>192</v>
      </c>
      <c r="AD4" s="116"/>
      <c r="AE4" s="487"/>
      <c r="AF4" s="487"/>
      <c r="AG4" s="487"/>
      <c r="AH4" s="487"/>
      <c r="AI4" s="487"/>
      <c r="AJ4" s="487"/>
      <c r="AK4" s="487"/>
      <c r="AL4" s="487"/>
      <c r="AM4" s="487"/>
      <c r="AN4" s="487"/>
      <c r="AO4" s="487"/>
      <c r="AP4" s="487"/>
      <c r="AQ4" s="487"/>
      <c r="AR4" s="487"/>
      <c r="AS4" s="487"/>
      <c r="AT4" s="487"/>
      <c r="AU4" s="487"/>
      <c r="AV4" s="487"/>
      <c r="AW4" s="487"/>
      <c r="AX4" s="487"/>
      <c r="AY4" s="487"/>
      <c r="AZ4" s="487"/>
      <c r="BA4" s="487"/>
      <c r="BB4" s="487"/>
      <c r="BC4" s="487"/>
      <c r="BD4" s="487"/>
      <c r="BE4" s="487"/>
      <c r="BF4" s="487"/>
      <c r="BG4" s="487"/>
      <c r="BH4" s="487"/>
      <c r="BI4" s="487"/>
      <c r="BJ4" s="487"/>
      <c r="BK4" s="487"/>
      <c r="BL4" s="487"/>
      <c r="BM4" s="487"/>
      <c r="BN4" s="487"/>
      <c r="BO4" s="487"/>
      <c r="BP4" s="487"/>
      <c r="BQ4" s="487"/>
      <c r="BR4" s="487"/>
      <c r="BS4" s="487"/>
      <c r="BT4" s="487"/>
      <c r="BU4" s="487"/>
      <c r="BV4" s="487"/>
      <c r="BW4" s="487"/>
      <c r="BX4" s="487"/>
      <c r="BY4" s="487"/>
      <c r="BZ4" s="487"/>
    </row>
    <row r="5" spans="1:122" s="488" customFormat="1" ht="15.75" thickBot="1" x14ac:dyDescent="0.3">
      <c r="A5" s="806"/>
      <c r="B5" s="807"/>
      <c r="C5" s="31" t="s">
        <v>158</v>
      </c>
      <c r="D5" s="179" t="s">
        <v>156</v>
      </c>
      <c r="E5" s="333" t="s">
        <v>193</v>
      </c>
      <c r="F5" s="334" t="s">
        <v>158</v>
      </c>
      <c r="G5" s="335" t="s">
        <v>156</v>
      </c>
      <c r="H5" s="333" t="s">
        <v>193</v>
      </c>
      <c r="I5" s="334" t="s">
        <v>158</v>
      </c>
      <c r="J5" s="336" t="s">
        <v>156</v>
      </c>
      <c r="K5" s="333" t="s">
        <v>193</v>
      </c>
      <c r="L5" s="337" t="s">
        <v>158</v>
      </c>
      <c r="M5" s="338" t="s">
        <v>156</v>
      </c>
      <c r="N5" s="339" t="s">
        <v>158</v>
      </c>
      <c r="O5" s="340" t="s">
        <v>156</v>
      </c>
      <c r="P5" s="341" t="s">
        <v>158</v>
      </c>
      <c r="Q5" s="342" t="s">
        <v>156</v>
      </c>
      <c r="R5" s="343" t="s">
        <v>158</v>
      </c>
      <c r="S5" s="344" t="s">
        <v>156</v>
      </c>
      <c r="T5" s="345" t="s">
        <v>158</v>
      </c>
      <c r="U5" s="346" t="s">
        <v>156</v>
      </c>
      <c r="V5" s="347" t="s">
        <v>158</v>
      </c>
      <c r="W5" s="348" t="s">
        <v>156</v>
      </c>
      <c r="X5" s="349" t="s">
        <v>158</v>
      </c>
      <c r="Y5" s="350" t="s">
        <v>156</v>
      </c>
      <c r="Z5" s="351" t="s">
        <v>158</v>
      </c>
      <c r="AA5" s="352" t="s">
        <v>156</v>
      </c>
      <c r="AB5" s="353" t="s">
        <v>194</v>
      </c>
      <c r="AC5" s="353" t="s">
        <v>194</v>
      </c>
      <c r="AD5" s="116"/>
      <c r="AE5" s="487"/>
      <c r="AF5" s="487"/>
      <c r="AG5" s="487"/>
      <c r="AH5" s="487"/>
      <c r="AI5" s="487"/>
      <c r="AJ5" s="487"/>
      <c r="AK5" s="487"/>
      <c r="AL5" s="487"/>
      <c r="AM5" s="487"/>
      <c r="AN5" s="487"/>
      <c r="AO5" s="487"/>
      <c r="AP5" s="487"/>
      <c r="AQ5" s="487"/>
      <c r="AR5" s="487"/>
      <c r="AS5" s="487"/>
      <c r="AT5" s="487"/>
      <c r="AU5" s="487"/>
      <c r="AV5" s="487"/>
      <c r="AW5" s="487"/>
      <c r="AX5" s="487"/>
      <c r="AY5" s="487"/>
      <c r="AZ5" s="487"/>
      <c r="BA5" s="487"/>
      <c r="BB5" s="487"/>
      <c r="BC5" s="487"/>
      <c r="BD5" s="487"/>
      <c r="BE5" s="487"/>
      <c r="BF5" s="487"/>
      <c r="BG5" s="487"/>
      <c r="BH5" s="487"/>
      <c r="BI5" s="487"/>
      <c r="BJ5" s="487"/>
      <c r="BK5" s="487"/>
      <c r="BL5" s="487"/>
      <c r="BM5" s="487"/>
      <c r="BN5" s="487"/>
      <c r="BO5" s="487"/>
      <c r="BP5" s="487"/>
      <c r="BQ5" s="487"/>
      <c r="BR5" s="487"/>
      <c r="BS5" s="487"/>
      <c r="BT5" s="487"/>
      <c r="BU5" s="487"/>
      <c r="BV5" s="487"/>
      <c r="BW5" s="487"/>
      <c r="BX5" s="487"/>
      <c r="BY5" s="487"/>
      <c r="BZ5" s="487"/>
    </row>
    <row r="6" spans="1:122" s="488" customFormat="1" ht="60.75" customHeight="1" thickBot="1" x14ac:dyDescent="0.3">
      <c r="A6" s="723" t="s">
        <v>195</v>
      </c>
      <c r="B6" s="724"/>
      <c r="C6" s="538">
        <f>9166-42-374</f>
        <v>8750</v>
      </c>
      <c r="D6" s="538">
        <f>2569+42+374</f>
        <v>2985</v>
      </c>
      <c r="E6" s="354">
        <f>SUM(C6:D6)</f>
        <v>11735</v>
      </c>
      <c r="F6" s="355">
        <f>L6+N6+P6+R6</f>
        <v>8778</v>
      </c>
      <c r="G6" s="355">
        <f>M6+O6+Q6+S6</f>
        <v>2791</v>
      </c>
      <c r="H6" s="355">
        <f>SUM(F6:G6)</f>
        <v>11569</v>
      </c>
      <c r="I6" s="356">
        <f>F6/C6</f>
        <v>1.0032000000000001</v>
      </c>
      <c r="J6" s="356">
        <f t="shared" ref="J6:K21" si="0">G6/D6</f>
        <v>0.93500837520938018</v>
      </c>
      <c r="K6" s="356">
        <f t="shared" si="0"/>
        <v>0.98585428206220704</v>
      </c>
      <c r="L6" s="490">
        <f>1261+254</f>
        <v>1515</v>
      </c>
      <c r="M6" s="601">
        <v>87</v>
      </c>
      <c r="N6" s="491">
        <f>358+133</f>
        <v>491</v>
      </c>
      <c r="O6" s="492">
        <f>135-10</f>
        <v>125</v>
      </c>
      <c r="P6" s="493">
        <f>1399+3100</f>
        <v>4499</v>
      </c>
      <c r="Q6" s="494">
        <v>543</v>
      </c>
      <c r="R6" s="491">
        <f>1215+490+568</f>
        <v>2273</v>
      </c>
      <c r="S6" s="492">
        <f>2096-60</f>
        <v>2036</v>
      </c>
      <c r="T6" s="38"/>
      <c r="U6" s="39"/>
      <c r="V6" s="38"/>
      <c r="W6" s="39"/>
      <c r="X6" s="38"/>
      <c r="Y6" s="40"/>
      <c r="Z6" s="38"/>
      <c r="AA6" s="41"/>
      <c r="AB6" s="357">
        <f t="shared" ref="AB6:AB21" si="1">E6/$E$29*100</f>
        <v>63.556109185441947</v>
      </c>
      <c r="AC6" s="358">
        <f>H6/$H$29*100</f>
        <v>62.038824538824542</v>
      </c>
      <c r="AD6" s="116"/>
      <c r="AE6" s="487"/>
      <c r="AF6" s="487"/>
      <c r="AG6" s="487"/>
      <c r="AH6" s="487"/>
      <c r="AI6" s="487"/>
      <c r="AJ6" s="487"/>
      <c r="AK6" s="487"/>
      <c r="AL6" s="487"/>
      <c r="AM6" s="487"/>
      <c r="AN6" s="487"/>
      <c r="AO6" s="487"/>
      <c r="AP6" s="487"/>
      <c r="AQ6" s="487"/>
      <c r="AR6" s="487"/>
      <c r="AS6" s="487"/>
      <c r="AT6" s="487"/>
      <c r="AU6" s="487"/>
      <c r="AV6" s="487"/>
      <c r="AW6" s="487"/>
      <c r="AX6" s="487"/>
      <c r="AY6" s="487"/>
      <c r="AZ6" s="487"/>
      <c r="BA6" s="487"/>
      <c r="BB6" s="487"/>
      <c r="BC6" s="487"/>
      <c r="BD6" s="487"/>
      <c r="BE6" s="487"/>
      <c r="BF6" s="487"/>
      <c r="BG6" s="487"/>
      <c r="BH6" s="487"/>
      <c r="BI6" s="487"/>
      <c r="BJ6" s="487"/>
      <c r="BK6" s="487"/>
      <c r="BL6" s="487"/>
      <c r="BM6" s="487"/>
      <c r="BN6" s="487"/>
      <c r="BO6" s="487"/>
      <c r="BP6" s="487"/>
      <c r="BQ6" s="487"/>
      <c r="BR6" s="487"/>
      <c r="BS6" s="487"/>
      <c r="BT6" s="487"/>
      <c r="BU6" s="487"/>
      <c r="BV6" s="487"/>
      <c r="BW6" s="487"/>
      <c r="BX6" s="487"/>
      <c r="BY6" s="487"/>
      <c r="BZ6" s="487"/>
    </row>
    <row r="7" spans="1:122" s="488" customFormat="1" ht="62.25" customHeight="1" thickBot="1" x14ac:dyDescent="0.3">
      <c r="A7" s="748" t="s">
        <v>196</v>
      </c>
      <c r="B7" s="749"/>
      <c r="C7" s="539">
        <v>796</v>
      </c>
      <c r="D7" s="539">
        <v>1260</v>
      </c>
      <c r="E7" s="354">
        <f t="shared" ref="E7:E17" si="2">SUM(C7:D7)</f>
        <v>2056</v>
      </c>
      <c r="F7" s="355">
        <f>T7+V7+X7+Z7</f>
        <v>773</v>
      </c>
      <c r="G7" s="355">
        <f>U7+W7+Y7+AA7</f>
        <v>1487</v>
      </c>
      <c r="H7" s="359">
        <f t="shared" ref="H7" si="3">SUM(F7:G7)</f>
        <v>2260</v>
      </c>
      <c r="I7" s="356">
        <f t="shared" ref="I7:I9" si="4">F7/C7</f>
        <v>0.97110552763819091</v>
      </c>
      <c r="J7" s="356">
        <f t="shared" si="0"/>
        <v>1.1801587301587302</v>
      </c>
      <c r="K7" s="356">
        <f t="shared" si="0"/>
        <v>1.0992217898832686</v>
      </c>
      <c r="L7" s="42"/>
      <c r="M7" s="43"/>
      <c r="N7" s="44"/>
      <c r="O7" s="43"/>
      <c r="P7" s="44"/>
      <c r="Q7" s="43"/>
      <c r="R7" s="44"/>
      <c r="S7" s="43"/>
      <c r="T7" s="490">
        <f>316+13</f>
        <v>329</v>
      </c>
      <c r="U7" s="497">
        <v>64</v>
      </c>
      <c r="V7" s="495">
        <v>330</v>
      </c>
      <c r="W7" s="495">
        <f>914+380</f>
        <v>1294</v>
      </c>
      <c r="X7" s="495">
        <v>114</v>
      </c>
      <c r="Y7" s="495">
        <v>129</v>
      </c>
      <c r="Z7" s="495"/>
      <c r="AA7" s="492"/>
      <c r="AB7" s="357">
        <f t="shared" si="1"/>
        <v>11.135181975736568</v>
      </c>
      <c r="AC7" s="358">
        <f>H7/$H$29*100</f>
        <v>12.119262119262119</v>
      </c>
      <c r="AD7" s="116"/>
      <c r="AE7" s="487"/>
      <c r="AF7" s="487"/>
      <c r="AG7" s="487"/>
      <c r="AH7" s="487"/>
      <c r="AI7" s="487"/>
      <c r="AJ7" s="487"/>
      <c r="AK7" s="487"/>
      <c r="AL7" s="487"/>
      <c r="AM7" s="487"/>
      <c r="AN7" s="487"/>
      <c r="AO7" s="487"/>
      <c r="AP7" s="487"/>
      <c r="AQ7" s="487"/>
      <c r="AR7" s="487"/>
      <c r="AS7" s="487"/>
      <c r="AT7" s="487"/>
      <c r="AU7" s="487"/>
      <c r="AV7" s="487"/>
      <c r="AW7" s="487"/>
      <c r="AX7" s="487"/>
      <c r="AY7" s="487"/>
      <c r="AZ7" s="487"/>
      <c r="BA7" s="487"/>
      <c r="BB7" s="487"/>
      <c r="BC7" s="487"/>
      <c r="BD7" s="487"/>
      <c r="BE7" s="487"/>
      <c r="BF7" s="487"/>
      <c r="BG7" s="487"/>
      <c r="BH7" s="487"/>
      <c r="BI7" s="487"/>
      <c r="BJ7" s="487"/>
      <c r="BK7" s="487"/>
      <c r="BL7" s="487"/>
      <c r="BM7" s="487"/>
      <c r="BN7" s="487"/>
      <c r="BO7" s="487"/>
      <c r="BP7" s="487"/>
      <c r="BQ7" s="487"/>
      <c r="BR7" s="487"/>
      <c r="BS7" s="487"/>
      <c r="BT7" s="487"/>
      <c r="BU7" s="487"/>
      <c r="BV7" s="487"/>
      <c r="BW7" s="487"/>
      <c r="BX7" s="487"/>
      <c r="BY7" s="487"/>
      <c r="BZ7" s="487"/>
    </row>
    <row r="8" spans="1:122" s="488" customFormat="1" ht="15.75" thickBot="1" x14ac:dyDescent="0.3">
      <c r="A8" s="750" t="s">
        <v>197</v>
      </c>
      <c r="B8" s="59" t="s">
        <v>198</v>
      </c>
      <c r="C8" s="539">
        <v>926</v>
      </c>
      <c r="D8" s="539">
        <v>53</v>
      </c>
      <c r="E8" s="354">
        <f t="shared" si="2"/>
        <v>979</v>
      </c>
      <c r="F8" s="355">
        <f>L8+N8+P8+R8+T8+V8+X8+Z8</f>
        <v>1175</v>
      </c>
      <c r="G8" s="355">
        <f>M8+O8+Q8+S8+U8+W8+Y8+AA8</f>
        <v>0</v>
      </c>
      <c r="H8" s="359">
        <f>SUM(F8:G8)</f>
        <v>1175</v>
      </c>
      <c r="I8" s="356">
        <f t="shared" si="4"/>
        <v>1.2688984881209504</v>
      </c>
      <c r="J8" s="356">
        <f>G8/D8</f>
        <v>0</v>
      </c>
      <c r="K8" s="356">
        <f t="shared" si="0"/>
        <v>1.2002042900919305</v>
      </c>
      <c r="L8" s="490">
        <v>800</v>
      </c>
      <c r="M8" s="601"/>
      <c r="N8" s="491">
        <v>33</v>
      </c>
      <c r="O8" s="492"/>
      <c r="P8" s="493">
        <f>62+22</f>
        <v>84</v>
      </c>
      <c r="Q8" s="494"/>
      <c r="R8" s="491">
        <f>85+21</f>
        <v>106</v>
      </c>
      <c r="S8" s="492"/>
      <c r="T8" s="490">
        <v>129</v>
      </c>
      <c r="U8" s="497"/>
      <c r="V8" s="495">
        <v>4</v>
      </c>
      <c r="W8" s="495"/>
      <c r="X8" s="495"/>
      <c r="Y8" s="495"/>
      <c r="Z8" s="495">
        <v>19</v>
      </c>
      <c r="AA8" s="492"/>
      <c r="AB8" s="357">
        <f t="shared" si="1"/>
        <v>5.3022097053726167</v>
      </c>
      <c r="AC8" s="358">
        <f>H8/$H$29*100</f>
        <v>6.3009438009438004</v>
      </c>
      <c r="AD8" s="116"/>
      <c r="AE8" s="487"/>
      <c r="AF8" s="487"/>
      <c r="AG8" s="487"/>
      <c r="AH8" s="487"/>
      <c r="AI8" s="487"/>
      <c r="AJ8" s="487"/>
      <c r="AK8" s="487"/>
      <c r="AL8" s="487"/>
      <c r="AM8" s="487"/>
      <c r="AN8" s="487"/>
      <c r="AO8" s="487"/>
      <c r="AP8" s="487"/>
      <c r="AQ8" s="487"/>
      <c r="AR8" s="487"/>
      <c r="AS8" s="487"/>
      <c r="AT8" s="487"/>
      <c r="AU8" s="487"/>
      <c r="AV8" s="487"/>
      <c r="AW8" s="487"/>
      <c r="AX8" s="487"/>
      <c r="AY8" s="487"/>
      <c r="AZ8" s="487"/>
      <c r="BA8" s="487"/>
      <c r="BB8" s="487"/>
      <c r="BC8" s="487"/>
      <c r="BD8" s="487"/>
      <c r="BE8" s="487"/>
      <c r="BF8" s="487"/>
      <c r="BG8" s="487"/>
      <c r="BH8" s="487"/>
      <c r="BI8" s="487"/>
      <c r="BJ8" s="487"/>
      <c r="BK8" s="487"/>
      <c r="BL8" s="487"/>
      <c r="BM8" s="487"/>
      <c r="BN8" s="487"/>
      <c r="BO8" s="487"/>
      <c r="BP8" s="487"/>
      <c r="BQ8" s="487"/>
      <c r="BR8" s="487"/>
      <c r="BS8" s="487"/>
      <c r="BT8" s="487"/>
      <c r="BU8" s="487"/>
      <c r="BV8" s="487"/>
      <c r="BW8" s="487"/>
      <c r="BX8" s="487"/>
      <c r="BY8" s="487"/>
      <c r="BZ8" s="487"/>
    </row>
    <row r="9" spans="1:122" s="488" customFormat="1" ht="37.5" customHeight="1" thickBot="1" x14ac:dyDescent="0.3">
      <c r="A9" s="751"/>
      <c r="B9" s="60" t="s">
        <v>199</v>
      </c>
      <c r="C9" s="539">
        <v>0</v>
      </c>
      <c r="D9" s="539">
        <v>0</v>
      </c>
      <c r="E9" s="354">
        <f t="shared" si="2"/>
        <v>0</v>
      </c>
      <c r="F9" s="355">
        <f>L9+N9+P9+R9+T9+V9+X9+Z9</f>
        <v>437</v>
      </c>
      <c r="G9" s="355">
        <f>M9+O9+Q9+S9+U9+W9+Y9+AA9</f>
        <v>0</v>
      </c>
      <c r="H9" s="359">
        <f>SUM(F9:G9)</f>
        <v>437</v>
      </c>
      <c r="I9" s="356" t="e">
        <f t="shared" si="4"/>
        <v>#DIV/0!</v>
      </c>
      <c r="J9" s="356" t="e">
        <f>G9/D9</f>
        <v>#DIV/0!</v>
      </c>
      <c r="K9" s="356" t="e">
        <f t="shared" si="0"/>
        <v>#DIV/0!</v>
      </c>
      <c r="L9" s="490"/>
      <c r="M9" s="601"/>
      <c r="N9" s="491">
        <f>ROUNDUP((347+90)*0.6,0)</f>
        <v>263</v>
      </c>
      <c r="O9" s="492"/>
      <c r="P9" s="493">
        <f>ROUNDDOWN((347+90)*0.4,0)</f>
        <v>174</v>
      </c>
      <c r="Q9" s="494"/>
      <c r="R9" s="491"/>
      <c r="S9" s="492"/>
      <c r="T9" s="490"/>
      <c r="U9" s="497"/>
      <c r="V9" s="495"/>
      <c r="W9" s="495"/>
      <c r="X9" s="495"/>
      <c r="Y9" s="495"/>
      <c r="Z9" s="495"/>
      <c r="AA9" s="492"/>
      <c r="AB9" s="357">
        <f t="shared" si="1"/>
        <v>0</v>
      </c>
      <c r="AC9" s="358">
        <f>H9/$H$29*100</f>
        <v>2.3434148434148434</v>
      </c>
      <c r="AD9" s="116"/>
      <c r="AE9" s="487"/>
      <c r="AF9" s="487"/>
      <c r="AG9" s="487"/>
      <c r="AH9" s="487"/>
      <c r="AI9" s="487"/>
      <c r="AJ9" s="487"/>
      <c r="AK9" s="487"/>
      <c r="AL9" s="487"/>
      <c r="AM9" s="487"/>
      <c r="AN9" s="487"/>
      <c r="AO9" s="487"/>
      <c r="AP9" s="487"/>
      <c r="AQ9" s="487"/>
      <c r="AR9" s="487"/>
      <c r="AS9" s="487"/>
      <c r="AT9" s="487"/>
      <c r="AU9" s="487"/>
      <c r="AV9" s="487"/>
      <c r="AW9" s="487"/>
      <c r="AX9" s="487"/>
      <c r="AY9" s="487"/>
      <c r="AZ9" s="487"/>
      <c r="BA9" s="487"/>
      <c r="BB9" s="487"/>
      <c r="BC9" s="487"/>
      <c r="BD9" s="487"/>
      <c r="BE9" s="487"/>
      <c r="BF9" s="487"/>
      <c r="BG9" s="487"/>
      <c r="BH9" s="487"/>
      <c r="BI9" s="487"/>
      <c r="BJ9" s="487"/>
      <c r="BK9" s="487"/>
      <c r="BL9" s="487"/>
      <c r="BM9" s="487"/>
      <c r="BN9" s="487"/>
      <c r="BO9" s="487"/>
      <c r="BP9" s="487"/>
      <c r="BQ9" s="487"/>
      <c r="BR9" s="487"/>
      <c r="BS9" s="487"/>
      <c r="BT9" s="487"/>
      <c r="BU9" s="487"/>
      <c r="BV9" s="487"/>
      <c r="BW9" s="487"/>
      <c r="BX9" s="487"/>
      <c r="BY9" s="487"/>
      <c r="BZ9" s="487"/>
    </row>
    <row r="10" spans="1:122" s="488" customFormat="1" ht="15.75" thickBot="1" x14ac:dyDescent="0.3">
      <c r="A10" s="752" t="s">
        <v>200</v>
      </c>
      <c r="B10" s="47" t="s">
        <v>201</v>
      </c>
      <c r="C10" s="82">
        <v>0</v>
      </c>
      <c r="D10" s="82">
        <v>0</v>
      </c>
      <c r="E10" s="354">
        <f t="shared" si="2"/>
        <v>0</v>
      </c>
      <c r="F10" s="355">
        <f t="shared" ref="F10:G14" si="5">L10+N10+P10+R10+T10+V10+X10+Z10</f>
        <v>0</v>
      </c>
      <c r="G10" s="355">
        <f t="shared" si="5"/>
        <v>0</v>
      </c>
      <c r="H10" s="359">
        <f>SUM(F10:G10)</f>
        <v>0</v>
      </c>
      <c r="I10" s="356" t="e">
        <f>F10/C10</f>
        <v>#DIV/0!</v>
      </c>
      <c r="J10" s="356" t="e">
        <f>G10/D10</f>
        <v>#DIV/0!</v>
      </c>
      <c r="K10" s="356" t="e">
        <f t="shared" si="0"/>
        <v>#DIV/0!</v>
      </c>
      <c r="L10" s="490"/>
      <c r="M10" s="601"/>
      <c r="N10" s="491"/>
      <c r="O10" s="492"/>
      <c r="P10" s="493"/>
      <c r="Q10" s="494"/>
      <c r="R10" s="491"/>
      <c r="S10" s="492"/>
      <c r="T10" s="490"/>
      <c r="U10" s="497"/>
      <c r="V10" s="495"/>
      <c r="W10" s="495"/>
      <c r="X10" s="495"/>
      <c r="Y10" s="495"/>
      <c r="Z10" s="495"/>
      <c r="AA10" s="492"/>
      <c r="AB10" s="357">
        <f t="shared" si="1"/>
        <v>0</v>
      </c>
      <c r="AC10" s="358">
        <f t="shared" ref="AC10:AC21" si="6">H10/$H$29*100</f>
        <v>0</v>
      </c>
      <c r="AD10" s="116"/>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c r="BC10" s="487"/>
      <c r="BD10" s="487"/>
      <c r="BE10" s="487"/>
      <c r="BF10" s="487"/>
      <c r="BG10" s="487"/>
      <c r="BH10" s="487"/>
      <c r="BI10" s="487"/>
      <c r="BJ10" s="487"/>
      <c r="BK10" s="487"/>
      <c r="BL10" s="487"/>
      <c r="BM10" s="487"/>
      <c r="BN10" s="487"/>
      <c r="BO10" s="487"/>
      <c r="BP10" s="487"/>
      <c r="BQ10" s="487"/>
      <c r="BR10" s="487"/>
      <c r="BS10" s="487"/>
      <c r="BT10" s="487"/>
      <c r="BU10" s="487"/>
      <c r="BV10" s="487"/>
      <c r="BW10" s="487"/>
      <c r="BX10" s="487"/>
      <c r="BY10" s="487"/>
      <c r="BZ10" s="487"/>
    </row>
    <row r="11" spans="1:122" s="488" customFormat="1" ht="30.75" thickBot="1" x14ac:dyDescent="0.3">
      <c r="A11" s="753"/>
      <c r="B11" s="48" t="s">
        <v>133</v>
      </c>
      <c r="C11" s="82">
        <v>0</v>
      </c>
      <c r="D11" s="82">
        <v>0</v>
      </c>
      <c r="E11" s="354">
        <f t="shared" si="2"/>
        <v>0</v>
      </c>
      <c r="F11" s="355">
        <f t="shared" si="5"/>
        <v>0</v>
      </c>
      <c r="G11" s="355">
        <f t="shared" si="5"/>
        <v>0</v>
      </c>
      <c r="H11" s="359">
        <f t="shared" ref="H11" si="7">SUM(F11:G11)</f>
        <v>0</v>
      </c>
      <c r="I11" s="356" t="e">
        <f t="shared" ref="I11:J21" si="8">F11/C11</f>
        <v>#DIV/0!</v>
      </c>
      <c r="J11" s="356" t="e">
        <f t="shared" si="8"/>
        <v>#DIV/0!</v>
      </c>
      <c r="K11" s="356" t="e">
        <f t="shared" si="0"/>
        <v>#DIV/0!</v>
      </c>
      <c r="L11" s="490"/>
      <c r="M11" s="601"/>
      <c r="N11" s="491"/>
      <c r="O11" s="492"/>
      <c r="P11" s="493"/>
      <c r="Q11" s="494"/>
      <c r="R11" s="491"/>
      <c r="S11" s="492"/>
      <c r="T11" s="490"/>
      <c r="U11" s="497"/>
      <c r="V11" s="495"/>
      <c r="W11" s="495"/>
      <c r="X11" s="495"/>
      <c r="Y11" s="495"/>
      <c r="Z11" s="495"/>
      <c r="AA11" s="492"/>
      <c r="AB11" s="357">
        <f t="shared" si="1"/>
        <v>0</v>
      </c>
      <c r="AC11" s="358">
        <f t="shared" si="6"/>
        <v>0</v>
      </c>
      <c r="AD11" s="116"/>
      <c r="AE11" s="487"/>
      <c r="AF11" s="487"/>
      <c r="AG11" s="487"/>
      <c r="AH11" s="487"/>
      <c r="AI11" s="487"/>
      <c r="AJ11" s="487"/>
      <c r="AK11" s="487"/>
      <c r="AL11" s="487"/>
      <c r="AM11" s="487"/>
      <c r="AN11" s="487"/>
      <c r="AO11" s="487"/>
      <c r="AP11" s="487"/>
      <c r="AQ11" s="487"/>
      <c r="AR11" s="487"/>
      <c r="AS11" s="487"/>
      <c r="AT11" s="487"/>
      <c r="AU11" s="487"/>
      <c r="AV11" s="487"/>
      <c r="AW11" s="487"/>
      <c r="AX11" s="487"/>
      <c r="AY11" s="487"/>
      <c r="AZ11" s="487"/>
      <c r="BA11" s="487"/>
      <c r="BB11" s="487"/>
      <c r="BC11" s="487"/>
      <c r="BD11" s="487"/>
      <c r="BE11" s="487"/>
      <c r="BF11" s="487"/>
      <c r="BG11" s="487"/>
      <c r="BH11" s="487"/>
      <c r="BI11" s="487"/>
      <c r="BJ11" s="487"/>
      <c r="BK11" s="487"/>
      <c r="BL11" s="487"/>
      <c r="BM11" s="487"/>
      <c r="BN11" s="487"/>
      <c r="BO11" s="487"/>
      <c r="BP11" s="487"/>
      <c r="BQ11" s="487"/>
      <c r="BR11" s="487"/>
      <c r="BS11" s="487"/>
      <c r="BT11" s="487"/>
      <c r="BU11" s="487"/>
      <c r="BV11" s="487"/>
      <c r="BW11" s="487"/>
      <c r="BX11" s="487"/>
      <c r="BY11" s="487"/>
      <c r="BZ11" s="487"/>
    </row>
    <row r="12" spans="1:122" s="488" customFormat="1" ht="15.75" thickBot="1" x14ac:dyDescent="0.3">
      <c r="A12" s="753"/>
      <c r="B12" s="49" t="s">
        <v>202</v>
      </c>
      <c r="C12" s="539">
        <v>382</v>
      </c>
      <c r="D12" s="539">
        <v>0</v>
      </c>
      <c r="E12" s="354">
        <f t="shared" si="2"/>
        <v>382</v>
      </c>
      <c r="F12" s="355">
        <f t="shared" si="5"/>
        <v>400</v>
      </c>
      <c r="G12" s="355">
        <f t="shared" si="5"/>
        <v>0</v>
      </c>
      <c r="H12" s="355">
        <f>SUM(F12:G12)</f>
        <v>400</v>
      </c>
      <c r="I12" s="356">
        <f t="shared" si="8"/>
        <v>1.0471204188481675</v>
      </c>
      <c r="J12" s="356" t="e">
        <f t="shared" si="8"/>
        <v>#DIV/0!</v>
      </c>
      <c r="K12" s="356">
        <f t="shared" si="0"/>
        <v>1.0471204188481675</v>
      </c>
      <c r="L12" s="490">
        <v>400</v>
      </c>
      <c r="M12" s="601"/>
      <c r="N12" s="491"/>
      <c r="O12" s="492"/>
      <c r="P12" s="493"/>
      <c r="Q12" s="494"/>
      <c r="R12" s="491"/>
      <c r="S12" s="492"/>
      <c r="T12" s="490"/>
      <c r="U12" s="497"/>
      <c r="V12" s="495"/>
      <c r="W12" s="495"/>
      <c r="X12" s="495"/>
      <c r="Y12" s="495"/>
      <c r="Z12" s="495"/>
      <c r="AA12" s="492"/>
      <c r="AB12" s="357">
        <f t="shared" si="1"/>
        <v>2.0688908145580589</v>
      </c>
      <c r="AC12" s="358">
        <f t="shared" si="6"/>
        <v>2.1450021450021453</v>
      </c>
      <c r="AD12" s="116"/>
      <c r="AE12" s="487"/>
      <c r="AF12" s="487"/>
      <c r="AG12" s="487"/>
      <c r="AH12" s="487"/>
      <c r="AI12" s="487"/>
      <c r="AJ12" s="487"/>
      <c r="AK12" s="487"/>
      <c r="AL12" s="487"/>
      <c r="AM12" s="487"/>
      <c r="AN12" s="487"/>
      <c r="AO12" s="487"/>
      <c r="AP12" s="487"/>
      <c r="AQ12" s="487"/>
      <c r="AR12" s="487"/>
      <c r="AS12" s="487"/>
      <c r="AT12" s="487"/>
      <c r="AU12" s="487"/>
      <c r="AV12" s="487"/>
      <c r="AW12" s="487"/>
      <c r="AX12" s="487"/>
      <c r="AY12" s="487"/>
      <c r="AZ12" s="487"/>
      <c r="BA12" s="487"/>
      <c r="BB12" s="487"/>
      <c r="BC12" s="487"/>
      <c r="BD12" s="487"/>
      <c r="BE12" s="487"/>
      <c r="BF12" s="487"/>
      <c r="BG12" s="487"/>
      <c r="BH12" s="487"/>
      <c r="BI12" s="487"/>
      <c r="BJ12" s="487"/>
      <c r="BK12" s="487"/>
      <c r="BL12" s="487"/>
      <c r="BM12" s="487"/>
      <c r="BN12" s="487"/>
      <c r="BO12" s="487"/>
      <c r="BP12" s="487"/>
      <c r="BQ12" s="487"/>
      <c r="BR12" s="487"/>
      <c r="BS12" s="487"/>
      <c r="BT12" s="487"/>
      <c r="BU12" s="487"/>
      <c r="BV12" s="487"/>
      <c r="BW12" s="487"/>
      <c r="BX12" s="487"/>
      <c r="BY12" s="487"/>
      <c r="BZ12" s="487"/>
    </row>
    <row r="13" spans="1:122" s="488" customFormat="1" ht="15.75" thickBot="1" x14ac:dyDescent="0.3">
      <c r="A13" s="753"/>
      <c r="B13" s="50" t="s">
        <v>135</v>
      </c>
      <c r="C13" s="88"/>
      <c r="D13" s="88"/>
      <c r="E13" s="354">
        <f t="shared" si="2"/>
        <v>0</v>
      </c>
      <c r="F13" s="355">
        <f t="shared" si="5"/>
        <v>0</v>
      </c>
      <c r="G13" s="355">
        <f t="shared" si="5"/>
        <v>0</v>
      </c>
      <c r="H13" s="359">
        <f t="shared" ref="H13:H15" si="9">SUM(F13:G13)</f>
        <v>0</v>
      </c>
      <c r="I13" s="356" t="e">
        <f t="shared" si="8"/>
        <v>#DIV/0!</v>
      </c>
      <c r="J13" s="356" t="e">
        <f t="shared" si="8"/>
        <v>#DIV/0!</v>
      </c>
      <c r="K13" s="356" t="e">
        <f t="shared" si="0"/>
        <v>#DIV/0!</v>
      </c>
      <c r="L13" s="490"/>
      <c r="M13" s="601"/>
      <c r="N13" s="491"/>
      <c r="O13" s="492"/>
      <c r="P13" s="493"/>
      <c r="Q13" s="494"/>
      <c r="R13" s="491"/>
      <c r="S13" s="492"/>
      <c r="T13" s="490"/>
      <c r="U13" s="497"/>
      <c r="V13" s="495"/>
      <c r="W13" s="495"/>
      <c r="X13" s="495"/>
      <c r="Y13" s="495"/>
      <c r="Z13" s="495"/>
      <c r="AA13" s="492"/>
      <c r="AB13" s="357">
        <f t="shared" si="1"/>
        <v>0</v>
      </c>
      <c r="AC13" s="358">
        <f t="shared" si="6"/>
        <v>0</v>
      </c>
      <c r="AD13" s="116"/>
      <c r="AE13" s="487"/>
      <c r="AF13" s="487"/>
      <c r="AG13" s="487"/>
      <c r="AH13" s="487"/>
      <c r="AI13" s="487"/>
      <c r="AJ13" s="487"/>
      <c r="AK13" s="487"/>
      <c r="AL13" s="487"/>
      <c r="AM13" s="487"/>
      <c r="AN13" s="487"/>
      <c r="AO13" s="487"/>
      <c r="AP13" s="487"/>
      <c r="AQ13" s="487"/>
      <c r="AR13" s="487"/>
      <c r="AS13" s="487"/>
      <c r="AT13" s="487"/>
      <c r="AU13" s="487"/>
      <c r="AV13" s="487"/>
      <c r="AW13" s="487"/>
      <c r="AX13" s="487"/>
      <c r="AY13" s="487"/>
      <c r="AZ13" s="487"/>
      <c r="BA13" s="487"/>
      <c r="BB13" s="487"/>
      <c r="BC13" s="487"/>
      <c r="BD13" s="487"/>
      <c r="BE13" s="487"/>
      <c r="BF13" s="487"/>
      <c r="BG13" s="487"/>
      <c r="BH13" s="487"/>
      <c r="BI13" s="487"/>
      <c r="BJ13" s="487"/>
      <c r="BK13" s="487"/>
      <c r="BL13" s="487"/>
      <c r="BM13" s="487"/>
      <c r="BN13" s="487"/>
      <c r="BO13" s="487"/>
      <c r="BP13" s="487"/>
      <c r="BQ13" s="487"/>
      <c r="BR13" s="487"/>
      <c r="BS13" s="487"/>
      <c r="BT13" s="487"/>
      <c r="BU13" s="487"/>
      <c r="BV13" s="487"/>
      <c r="BW13" s="487"/>
      <c r="BX13" s="487"/>
      <c r="BY13" s="487"/>
      <c r="BZ13" s="487"/>
    </row>
    <row r="14" spans="1:122" s="488" customFormat="1" ht="15.75" thickBot="1" x14ac:dyDescent="0.3">
      <c r="A14" s="753"/>
      <c r="B14" s="50" t="s">
        <v>203</v>
      </c>
      <c r="C14" s="88">
        <v>233</v>
      </c>
      <c r="D14" s="88">
        <v>2</v>
      </c>
      <c r="E14" s="354">
        <f t="shared" si="2"/>
        <v>235</v>
      </c>
      <c r="F14" s="355">
        <f t="shared" si="5"/>
        <v>300</v>
      </c>
      <c r="G14" s="355">
        <f t="shared" si="5"/>
        <v>0</v>
      </c>
      <c r="H14" s="359">
        <f t="shared" si="9"/>
        <v>300</v>
      </c>
      <c r="I14" s="356">
        <f t="shared" si="8"/>
        <v>1.2875536480686696</v>
      </c>
      <c r="J14" s="356">
        <f t="shared" si="8"/>
        <v>0</v>
      </c>
      <c r="K14" s="356">
        <f t="shared" si="0"/>
        <v>1.2765957446808511</v>
      </c>
      <c r="L14" s="490"/>
      <c r="M14" s="601"/>
      <c r="N14" s="491"/>
      <c r="O14" s="492"/>
      <c r="P14" s="493">
        <v>118</v>
      </c>
      <c r="Q14" s="494"/>
      <c r="R14" s="491">
        <v>71</v>
      </c>
      <c r="S14" s="492"/>
      <c r="T14" s="490">
        <v>50</v>
      </c>
      <c r="U14" s="497"/>
      <c r="V14" s="495">
        <v>50</v>
      </c>
      <c r="W14" s="495"/>
      <c r="X14" s="495">
        <v>11</v>
      </c>
      <c r="Y14" s="495"/>
      <c r="Z14" s="495"/>
      <c r="AA14" s="492"/>
      <c r="AB14" s="357">
        <f t="shared" si="1"/>
        <v>1.2727469670710572</v>
      </c>
      <c r="AC14" s="358">
        <f t="shared" si="6"/>
        <v>1.6087516087516087</v>
      </c>
      <c r="AD14" s="116"/>
      <c r="AE14" s="487"/>
      <c r="AF14" s="487"/>
      <c r="AG14" s="487"/>
      <c r="AH14" s="487"/>
      <c r="AI14" s="487"/>
      <c r="AJ14" s="487"/>
      <c r="AK14" s="487"/>
      <c r="AL14" s="487"/>
      <c r="AM14" s="487"/>
      <c r="AN14" s="487"/>
      <c r="AO14" s="487"/>
      <c r="AP14" s="487"/>
      <c r="AQ14" s="487"/>
      <c r="AR14" s="487"/>
      <c r="AS14" s="487"/>
      <c r="AT14" s="487"/>
      <c r="AU14" s="487"/>
      <c r="AV14" s="487"/>
      <c r="AW14" s="487"/>
      <c r="AX14" s="487"/>
      <c r="AY14" s="487"/>
      <c r="AZ14" s="487"/>
      <c r="BA14" s="487"/>
      <c r="BB14" s="487"/>
      <c r="BC14" s="487"/>
      <c r="BD14" s="487"/>
      <c r="BE14" s="487"/>
      <c r="BF14" s="487"/>
      <c r="BG14" s="487"/>
      <c r="BH14" s="487"/>
      <c r="BI14" s="487"/>
      <c r="BJ14" s="487"/>
      <c r="BK14" s="487"/>
      <c r="BL14" s="487"/>
      <c r="BM14" s="487"/>
      <c r="BN14" s="487"/>
      <c r="BO14" s="487"/>
      <c r="BP14" s="487"/>
      <c r="BQ14" s="487"/>
      <c r="BR14" s="487"/>
      <c r="BS14" s="487"/>
      <c r="BT14" s="487"/>
      <c r="BU14" s="487"/>
      <c r="BV14" s="487"/>
      <c r="BW14" s="487"/>
      <c r="BX14" s="487"/>
      <c r="BY14" s="487"/>
      <c r="BZ14" s="487"/>
    </row>
    <row r="15" spans="1:122" s="488" customFormat="1" ht="15.75" thickBot="1" x14ac:dyDescent="0.3">
      <c r="A15" s="754" t="s">
        <v>204</v>
      </c>
      <c r="B15" s="755"/>
      <c r="C15" s="539">
        <v>336</v>
      </c>
      <c r="D15" s="539">
        <v>0</v>
      </c>
      <c r="E15" s="354">
        <f t="shared" si="2"/>
        <v>336</v>
      </c>
      <c r="F15" s="355">
        <f>L15+N15+P15+R15</f>
        <v>317</v>
      </c>
      <c r="G15" s="355">
        <f>M15+O15+Q15+S15</f>
        <v>0</v>
      </c>
      <c r="H15" s="359">
        <f t="shared" si="9"/>
        <v>317</v>
      </c>
      <c r="I15" s="356">
        <f t="shared" si="8"/>
        <v>0.94345238095238093</v>
      </c>
      <c r="J15" s="356" t="e">
        <f t="shared" si="8"/>
        <v>#DIV/0!</v>
      </c>
      <c r="K15" s="356">
        <f t="shared" si="0"/>
        <v>0.94345238095238093</v>
      </c>
      <c r="L15" s="602">
        <v>71</v>
      </c>
      <c r="M15" s="603"/>
      <c r="N15" s="604">
        <v>18</v>
      </c>
      <c r="O15" s="605"/>
      <c r="P15" s="604">
        <v>18</v>
      </c>
      <c r="Q15" s="605"/>
      <c r="R15" s="604">
        <v>210</v>
      </c>
      <c r="S15" s="605"/>
      <c r="T15" s="55"/>
      <c r="U15" s="56"/>
      <c r="V15" s="55"/>
      <c r="W15" s="56"/>
      <c r="X15" s="55"/>
      <c r="Y15" s="57"/>
      <c r="Z15" s="55"/>
      <c r="AA15" s="58"/>
      <c r="AB15" s="357">
        <f t="shared" si="1"/>
        <v>1.8197573656845754</v>
      </c>
      <c r="AC15" s="358">
        <f t="shared" si="6"/>
        <v>1.6999141999142</v>
      </c>
      <c r="AD15" s="116"/>
      <c r="AE15" s="487"/>
      <c r="AF15" s="487"/>
      <c r="AG15" s="487"/>
      <c r="AH15" s="487"/>
      <c r="AI15" s="487"/>
      <c r="AJ15" s="487"/>
      <c r="AK15" s="487"/>
      <c r="AL15" s="487"/>
      <c r="AM15" s="487"/>
      <c r="AN15" s="487"/>
      <c r="AO15" s="487"/>
      <c r="AP15" s="487"/>
      <c r="AQ15" s="487"/>
      <c r="AR15" s="487"/>
      <c r="AS15" s="487"/>
      <c r="AT15" s="487"/>
      <c r="AU15" s="487"/>
      <c r="AV15" s="487"/>
      <c r="AW15" s="487"/>
      <c r="AX15" s="487"/>
      <c r="AY15" s="487"/>
      <c r="AZ15" s="487"/>
      <c r="BA15" s="487"/>
      <c r="BB15" s="487"/>
      <c r="BC15" s="487"/>
      <c r="BD15" s="487"/>
      <c r="BE15" s="487"/>
      <c r="BF15" s="487"/>
      <c r="BG15" s="487"/>
      <c r="BH15" s="487"/>
      <c r="BI15" s="487"/>
      <c r="BJ15" s="487"/>
      <c r="BK15" s="487"/>
      <c r="BL15" s="487"/>
      <c r="BM15" s="487"/>
      <c r="BN15" s="487"/>
      <c r="BO15" s="487"/>
      <c r="BP15" s="487"/>
      <c r="BQ15" s="487"/>
      <c r="BR15" s="487"/>
      <c r="BS15" s="487"/>
      <c r="BT15" s="487"/>
      <c r="BU15" s="487"/>
      <c r="BV15" s="487"/>
      <c r="BW15" s="487"/>
      <c r="BX15" s="487"/>
      <c r="BY15" s="487"/>
      <c r="BZ15" s="487"/>
    </row>
    <row r="16" spans="1:122" s="488" customFormat="1" ht="15.75" thickBot="1" x14ac:dyDescent="0.3">
      <c r="A16" s="756" t="s">
        <v>205</v>
      </c>
      <c r="B16" s="59" t="s">
        <v>206</v>
      </c>
      <c r="C16" s="82">
        <v>115</v>
      </c>
      <c r="D16" s="82">
        <v>18</v>
      </c>
      <c r="E16" s="354">
        <f t="shared" si="2"/>
        <v>133</v>
      </c>
      <c r="F16" s="355">
        <f t="shared" ref="F16:G19" si="10">L16+N16+P16+R16+T16+V16+X16+Z16</f>
        <v>77</v>
      </c>
      <c r="G16" s="355">
        <f t="shared" si="10"/>
        <v>0</v>
      </c>
      <c r="H16" s="355">
        <f>SUM(F16:G16)</f>
        <v>77</v>
      </c>
      <c r="I16" s="356">
        <f t="shared" si="8"/>
        <v>0.66956521739130437</v>
      </c>
      <c r="J16" s="356">
        <f t="shared" si="8"/>
        <v>0</v>
      </c>
      <c r="K16" s="356">
        <f t="shared" si="0"/>
        <v>0.57894736842105265</v>
      </c>
      <c r="L16" s="491"/>
      <c r="M16" s="495"/>
      <c r="N16" s="491">
        <v>77</v>
      </c>
      <c r="O16" s="495"/>
      <c r="P16" s="491"/>
      <c r="Q16" s="494"/>
      <c r="R16" s="491"/>
      <c r="S16" s="492"/>
      <c r="T16" s="491"/>
      <c r="U16" s="495"/>
      <c r="V16" s="491"/>
      <c r="W16" s="495"/>
      <c r="X16" s="491"/>
      <c r="Y16" s="494"/>
      <c r="Z16" s="491"/>
      <c r="AA16" s="492"/>
      <c r="AB16" s="357">
        <f t="shared" si="1"/>
        <v>0.72032062391681106</v>
      </c>
      <c r="AC16" s="358">
        <f t="shared" si="6"/>
        <v>0.41291291291291288</v>
      </c>
      <c r="AD16" s="116"/>
      <c r="AE16" s="487"/>
      <c r="AF16" s="487"/>
      <c r="AG16" s="487"/>
      <c r="AH16" s="487"/>
      <c r="AI16" s="487"/>
      <c r="AJ16" s="487"/>
      <c r="AK16" s="487"/>
      <c r="AL16" s="487"/>
      <c r="AM16" s="487"/>
      <c r="AN16" s="487"/>
      <c r="AO16" s="487"/>
      <c r="AP16" s="487"/>
      <c r="AQ16" s="487"/>
      <c r="AR16" s="487"/>
      <c r="AS16" s="487"/>
      <c r="AT16" s="487"/>
      <c r="AU16" s="487"/>
      <c r="AV16" s="487"/>
      <c r="AW16" s="487"/>
      <c r="AX16" s="487"/>
      <c r="AY16" s="487"/>
      <c r="AZ16" s="487"/>
      <c r="BA16" s="487"/>
      <c r="BB16" s="487"/>
      <c r="BC16" s="487"/>
      <c r="BD16" s="487"/>
      <c r="BE16" s="487"/>
      <c r="BF16" s="487"/>
      <c r="BG16" s="487"/>
      <c r="BH16" s="487"/>
      <c r="BI16" s="487"/>
      <c r="BJ16" s="487"/>
      <c r="BK16" s="487"/>
      <c r="BL16" s="487"/>
      <c r="BM16" s="487"/>
      <c r="BN16" s="487"/>
      <c r="BO16" s="487"/>
      <c r="BP16" s="487"/>
      <c r="BQ16" s="487"/>
      <c r="BR16" s="487"/>
      <c r="BS16" s="487"/>
      <c r="BT16" s="487"/>
      <c r="BU16" s="487"/>
      <c r="BV16" s="487"/>
      <c r="BW16" s="487"/>
      <c r="BX16" s="487"/>
      <c r="BY16" s="487"/>
      <c r="BZ16" s="487"/>
    </row>
    <row r="17" spans="1:123" s="488" customFormat="1" ht="15.75" thickBot="1" x14ac:dyDescent="0.3">
      <c r="A17" s="753"/>
      <c r="B17" s="59" t="s">
        <v>140</v>
      </c>
      <c r="C17" s="82">
        <v>596</v>
      </c>
      <c r="D17" s="82"/>
      <c r="E17" s="354">
        <f t="shared" si="2"/>
        <v>596</v>
      </c>
      <c r="F17" s="355">
        <f t="shared" si="10"/>
        <v>45</v>
      </c>
      <c r="G17" s="355">
        <f t="shared" si="10"/>
        <v>0</v>
      </c>
      <c r="H17" s="359">
        <f t="shared" ref="H17:H19" si="11">SUM(F17:G17)</f>
        <v>45</v>
      </c>
      <c r="I17" s="356">
        <f t="shared" si="8"/>
        <v>7.5503355704697989E-2</v>
      </c>
      <c r="J17" s="356" t="e">
        <f t="shared" si="8"/>
        <v>#DIV/0!</v>
      </c>
      <c r="K17" s="356">
        <f t="shared" si="0"/>
        <v>7.5503355704697989E-2</v>
      </c>
      <c r="L17" s="491"/>
      <c r="M17" s="495"/>
      <c r="N17" s="491"/>
      <c r="O17" s="495"/>
      <c r="P17" s="491">
        <v>45</v>
      </c>
      <c r="Q17" s="494"/>
      <c r="R17" s="491"/>
      <c r="S17" s="492"/>
      <c r="T17" s="491"/>
      <c r="U17" s="495"/>
      <c r="V17" s="491"/>
      <c r="W17" s="495"/>
      <c r="X17" s="491"/>
      <c r="Y17" s="494"/>
      <c r="Z17" s="491"/>
      <c r="AA17" s="492"/>
      <c r="AB17" s="357">
        <f t="shared" si="1"/>
        <v>3.2279029462738298</v>
      </c>
      <c r="AC17" s="358">
        <f t="shared" si="6"/>
        <v>0.2413127413127413</v>
      </c>
      <c r="AD17" s="116"/>
      <c r="AE17" s="487"/>
      <c r="AF17" s="487"/>
      <c r="AG17" s="487"/>
      <c r="AH17" s="487"/>
      <c r="AI17" s="487"/>
      <c r="AJ17" s="487"/>
      <c r="AK17" s="487"/>
      <c r="AL17" s="487"/>
      <c r="AM17" s="487"/>
      <c r="AN17" s="487"/>
      <c r="AO17" s="487"/>
      <c r="AP17" s="487"/>
      <c r="AQ17" s="487"/>
      <c r="AR17" s="487"/>
      <c r="AS17" s="487"/>
      <c r="AT17" s="487"/>
      <c r="AU17" s="487"/>
      <c r="AV17" s="487"/>
      <c r="AW17" s="487"/>
      <c r="AX17" s="487"/>
      <c r="AY17" s="487"/>
      <c r="AZ17" s="487"/>
      <c r="BA17" s="487"/>
      <c r="BB17" s="487"/>
      <c r="BC17" s="487"/>
      <c r="BD17" s="487"/>
      <c r="BE17" s="487"/>
      <c r="BF17" s="487"/>
      <c r="BG17" s="487"/>
      <c r="BH17" s="487"/>
      <c r="BI17" s="487"/>
      <c r="BJ17" s="487"/>
      <c r="BK17" s="487"/>
      <c r="BL17" s="487"/>
      <c r="BM17" s="487"/>
      <c r="BN17" s="487"/>
      <c r="BO17" s="487"/>
      <c r="BP17" s="487"/>
      <c r="BQ17" s="487"/>
      <c r="BR17" s="487"/>
      <c r="BS17" s="487"/>
      <c r="BT17" s="487"/>
      <c r="BU17" s="487"/>
      <c r="BV17" s="487"/>
      <c r="BW17" s="487"/>
      <c r="BX17" s="487"/>
      <c r="BY17" s="487"/>
      <c r="BZ17" s="487"/>
    </row>
    <row r="18" spans="1:123" s="488" customFormat="1" ht="15.75" thickBot="1" x14ac:dyDescent="0.3">
      <c r="A18" s="753"/>
      <c r="B18" s="50" t="s">
        <v>141</v>
      </c>
      <c r="C18" s="88">
        <v>697</v>
      </c>
      <c r="D18" s="88"/>
      <c r="E18" s="354">
        <f t="shared" ref="E18" si="12">SUM(C18:D18)</f>
        <v>697</v>
      </c>
      <c r="F18" s="355">
        <f t="shared" si="10"/>
        <v>0</v>
      </c>
      <c r="G18" s="355">
        <f t="shared" si="10"/>
        <v>0</v>
      </c>
      <c r="H18" s="359">
        <f t="shared" si="11"/>
        <v>0</v>
      </c>
      <c r="I18" s="356">
        <f t="shared" si="8"/>
        <v>0</v>
      </c>
      <c r="J18" s="356" t="e">
        <f t="shared" si="8"/>
        <v>#DIV/0!</v>
      </c>
      <c r="K18" s="356">
        <f t="shared" si="0"/>
        <v>0</v>
      </c>
      <c r="L18" s="490"/>
      <c r="M18" s="601"/>
      <c r="N18" s="491"/>
      <c r="O18" s="492"/>
      <c r="P18" s="493"/>
      <c r="Q18" s="494"/>
      <c r="R18" s="491"/>
      <c r="S18" s="492"/>
      <c r="T18" s="490"/>
      <c r="U18" s="497"/>
      <c r="V18" s="495"/>
      <c r="W18" s="495"/>
      <c r="X18" s="495"/>
      <c r="Y18" s="495"/>
      <c r="Z18" s="495"/>
      <c r="AA18" s="492"/>
      <c r="AB18" s="357">
        <f t="shared" si="1"/>
        <v>3.7749133448873486</v>
      </c>
      <c r="AC18" s="358">
        <f t="shared" si="6"/>
        <v>0</v>
      </c>
      <c r="AD18" s="116"/>
      <c r="AE18" s="487"/>
      <c r="AF18" s="487"/>
      <c r="AG18" s="487"/>
      <c r="AH18" s="487"/>
      <c r="AI18" s="487"/>
      <c r="AJ18" s="487"/>
      <c r="AK18" s="487"/>
      <c r="AL18" s="487"/>
      <c r="AM18" s="487"/>
      <c r="AN18" s="487"/>
      <c r="AO18" s="487"/>
      <c r="AP18" s="487"/>
      <c r="AQ18" s="487"/>
      <c r="AR18" s="487"/>
      <c r="AS18" s="487"/>
      <c r="AT18" s="487"/>
      <c r="AU18" s="487"/>
      <c r="AV18" s="487"/>
      <c r="AW18" s="487"/>
      <c r="AX18" s="487"/>
      <c r="AY18" s="487"/>
      <c r="AZ18" s="487"/>
      <c r="BA18" s="487"/>
      <c r="BB18" s="487"/>
      <c r="BC18" s="487"/>
      <c r="BD18" s="487"/>
      <c r="BE18" s="487"/>
      <c r="BF18" s="487"/>
      <c r="BG18" s="487"/>
      <c r="BH18" s="487"/>
      <c r="BI18" s="487"/>
      <c r="BJ18" s="487"/>
      <c r="BK18" s="487"/>
      <c r="BL18" s="487"/>
      <c r="BM18" s="487"/>
      <c r="BN18" s="487"/>
      <c r="BO18" s="487"/>
      <c r="BP18" s="487"/>
      <c r="BQ18" s="487"/>
      <c r="BR18" s="487"/>
      <c r="BS18" s="487"/>
      <c r="BT18" s="487"/>
      <c r="BU18" s="487"/>
      <c r="BV18" s="487"/>
      <c r="BW18" s="487"/>
      <c r="BX18" s="487"/>
      <c r="BY18" s="487"/>
      <c r="BZ18" s="487"/>
    </row>
    <row r="19" spans="1:123" s="488" customFormat="1" ht="27.75" customHeight="1" thickBot="1" x14ac:dyDescent="0.3">
      <c r="A19" s="753"/>
      <c r="B19" s="60" t="s">
        <v>142</v>
      </c>
      <c r="C19" s="82"/>
      <c r="D19" s="82"/>
      <c r="E19" s="354">
        <f t="shared" ref="E19" si="13">SUM(C19:D19)</f>
        <v>0</v>
      </c>
      <c r="F19" s="355">
        <f t="shared" si="10"/>
        <v>605</v>
      </c>
      <c r="G19" s="355">
        <f t="shared" si="10"/>
        <v>0</v>
      </c>
      <c r="H19" s="359">
        <f t="shared" si="11"/>
        <v>605</v>
      </c>
      <c r="I19" s="356" t="e">
        <f t="shared" si="8"/>
        <v>#DIV/0!</v>
      </c>
      <c r="J19" s="356" t="e">
        <f t="shared" si="8"/>
        <v>#DIV/0!</v>
      </c>
      <c r="K19" s="356" t="e">
        <f t="shared" si="0"/>
        <v>#DIV/0!</v>
      </c>
      <c r="L19" s="491">
        <v>35</v>
      </c>
      <c r="M19" s="495"/>
      <c r="N19" s="491"/>
      <c r="O19" s="495"/>
      <c r="P19" s="491">
        <v>345</v>
      </c>
      <c r="Q19" s="494"/>
      <c r="R19" s="491">
        <v>165</v>
      </c>
      <c r="S19" s="492"/>
      <c r="T19" s="491">
        <v>20</v>
      </c>
      <c r="U19" s="495"/>
      <c r="V19" s="491">
        <v>20</v>
      </c>
      <c r="W19" s="495"/>
      <c r="X19" s="491">
        <v>20</v>
      </c>
      <c r="Y19" s="494"/>
      <c r="Z19" s="491"/>
      <c r="AA19" s="492"/>
      <c r="AB19" s="357">
        <f t="shared" si="1"/>
        <v>0</v>
      </c>
      <c r="AC19" s="358">
        <f t="shared" si="6"/>
        <v>3.244315744315744</v>
      </c>
      <c r="AD19" s="116"/>
      <c r="AE19" s="487"/>
      <c r="AF19" s="487"/>
      <c r="AG19" s="487"/>
      <c r="AH19" s="487"/>
      <c r="AI19" s="487"/>
      <c r="AJ19" s="487"/>
      <c r="AK19" s="487"/>
      <c r="AL19" s="487"/>
      <c r="AM19" s="487"/>
      <c r="AN19" s="487"/>
      <c r="AO19" s="487"/>
      <c r="AP19" s="487"/>
      <c r="AQ19" s="487"/>
      <c r="AR19" s="487"/>
      <c r="AS19" s="487"/>
      <c r="AT19" s="487"/>
      <c r="AU19" s="487"/>
      <c r="AV19" s="487"/>
      <c r="AW19" s="487"/>
      <c r="AX19" s="487"/>
      <c r="AY19" s="487"/>
      <c r="AZ19" s="487"/>
      <c r="BA19" s="487"/>
      <c r="BB19" s="487"/>
      <c r="BC19" s="487"/>
      <c r="BD19" s="487"/>
      <c r="BE19" s="487"/>
      <c r="BF19" s="487"/>
      <c r="BG19" s="487"/>
      <c r="BH19" s="487"/>
      <c r="BI19" s="487"/>
      <c r="BJ19" s="487"/>
      <c r="BK19" s="487"/>
      <c r="BL19" s="487"/>
      <c r="BM19" s="487"/>
      <c r="BN19" s="487"/>
      <c r="BO19" s="487"/>
      <c r="BP19" s="487"/>
      <c r="BQ19" s="487"/>
      <c r="BR19" s="487"/>
      <c r="BS19" s="487"/>
      <c r="BT19" s="487"/>
      <c r="BU19" s="487"/>
      <c r="BV19" s="487"/>
      <c r="BW19" s="487"/>
      <c r="BX19" s="487"/>
      <c r="BY19" s="487"/>
      <c r="BZ19" s="487"/>
    </row>
    <row r="20" spans="1:123" s="480" customFormat="1" ht="16.5" thickTop="1" thickBot="1" x14ac:dyDescent="0.3">
      <c r="A20" s="769" t="s">
        <v>207</v>
      </c>
      <c r="B20" s="770"/>
      <c r="C20" s="542">
        <f>12152-42-374</f>
        <v>11736</v>
      </c>
      <c r="D20" s="542">
        <f>2642+42+374</f>
        <v>3058</v>
      </c>
      <c r="E20" s="360">
        <f>SUM(C20:D20)</f>
        <v>14794</v>
      </c>
      <c r="F20" s="361">
        <f>L20+N20+P20+R20</f>
        <v>11811</v>
      </c>
      <c r="G20" s="361">
        <f>M20+O20+Q20+S20</f>
        <v>2791</v>
      </c>
      <c r="H20" s="362">
        <f>SUM(F20:G20)</f>
        <v>14602</v>
      </c>
      <c r="I20" s="363">
        <f t="shared" si="8"/>
        <v>1.0063905930470347</v>
      </c>
      <c r="J20" s="363">
        <f t="shared" si="8"/>
        <v>0.91268803139306731</v>
      </c>
      <c r="K20" s="363">
        <f t="shared" si="0"/>
        <v>0.98702176558064081</v>
      </c>
      <c r="L20" s="364">
        <f>SUM(L6:L19)</f>
        <v>2821</v>
      </c>
      <c r="M20" s="364">
        <f t="shared" ref="M20:S20" si="14">SUM(M6:M19)</f>
        <v>87</v>
      </c>
      <c r="N20" s="364">
        <f t="shared" si="14"/>
        <v>882</v>
      </c>
      <c r="O20" s="364">
        <f t="shared" si="14"/>
        <v>125</v>
      </c>
      <c r="P20" s="364">
        <f t="shared" si="14"/>
        <v>5283</v>
      </c>
      <c r="Q20" s="364">
        <f t="shared" si="14"/>
        <v>543</v>
      </c>
      <c r="R20" s="364">
        <f t="shared" si="14"/>
        <v>2825</v>
      </c>
      <c r="S20" s="364">
        <f t="shared" si="14"/>
        <v>2036</v>
      </c>
      <c r="T20" s="61"/>
      <c r="U20" s="62"/>
      <c r="V20" s="61"/>
      <c r="W20" s="62"/>
      <c r="X20" s="61"/>
      <c r="Y20" s="63"/>
      <c r="Z20" s="61"/>
      <c r="AA20" s="64"/>
      <c r="AB20" s="365">
        <f t="shared" si="1"/>
        <v>80.123483535528592</v>
      </c>
      <c r="AC20" s="366">
        <f t="shared" si="6"/>
        <v>78.303303303303309</v>
      </c>
      <c r="AD20" s="116"/>
    </row>
    <row r="21" spans="1:123" s="480" customFormat="1" ht="15.75" thickBot="1" x14ac:dyDescent="0.3">
      <c r="A21" s="784" t="s">
        <v>208</v>
      </c>
      <c r="B21" s="967"/>
      <c r="C21" s="542">
        <v>1095</v>
      </c>
      <c r="D21" s="542">
        <v>1260</v>
      </c>
      <c r="E21" s="354">
        <f>SUM(C21:D21)</f>
        <v>2355</v>
      </c>
      <c r="F21" s="355">
        <f>T21+V21+X21+Z21</f>
        <v>1096</v>
      </c>
      <c r="G21" s="355">
        <f>U21+W21+Y21+AA21</f>
        <v>1487</v>
      </c>
      <c r="H21" s="355">
        <f>SUM(F21:G21)</f>
        <v>2583</v>
      </c>
      <c r="I21" s="356">
        <f t="shared" si="8"/>
        <v>1.0009132420091325</v>
      </c>
      <c r="J21" s="356">
        <f t="shared" si="8"/>
        <v>1.1801587301587302</v>
      </c>
      <c r="K21" s="356">
        <f t="shared" si="0"/>
        <v>1.0968152866242038</v>
      </c>
      <c r="L21" s="42"/>
      <c r="M21" s="43"/>
      <c r="N21" s="44"/>
      <c r="O21" s="43"/>
      <c r="P21" s="44"/>
      <c r="Q21" s="43"/>
      <c r="R21" s="44"/>
      <c r="S21" s="43"/>
      <c r="T21" s="367">
        <f>SUM(T6:T20)</f>
        <v>528</v>
      </c>
      <c r="U21" s="367">
        <f t="shared" ref="U21:AA21" si="15">SUM(U6:U20)</f>
        <v>64</v>
      </c>
      <c r="V21" s="367">
        <f t="shared" si="15"/>
        <v>404</v>
      </c>
      <c r="W21" s="367">
        <f t="shared" si="15"/>
        <v>1294</v>
      </c>
      <c r="X21" s="367">
        <f>SUM(X6:X20)</f>
        <v>145</v>
      </c>
      <c r="Y21" s="367">
        <f t="shared" si="15"/>
        <v>129</v>
      </c>
      <c r="Z21" s="367">
        <f t="shared" si="15"/>
        <v>19</v>
      </c>
      <c r="AA21" s="367">
        <f t="shared" si="15"/>
        <v>0</v>
      </c>
      <c r="AB21" s="357">
        <f t="shared" si="1"/>
        <v>12.75454939341421</v>
      </c>
      <c r="AC21" s="358">
        <f t="shared" si="6"/>
        <v>13.851351351351351</v>
      </c>
      <c r="AD21" s="116"/>
    </row>
    <row r="22" spans="1:123" ht="20.25" customHeight="1" thickBot="1" x14ac:dyDescent="0.3">
      <c r="A22" s="968" t="s">
        <v>209</v>
      </c>
      <c r="B22" s="65" t="s">
        <v>210</v>
      </c>
      <c r="C22" s="66"/>
      <c r="D22" s="66"/>
      <c r="E22" s="66"/>
      <c r="F22" s="67"/>
      <c r="G22" s="68"/>
      <c r="H22" s="69"/>
      <c r="I22" s="67"/>
      <c r="J22" s="68"/>
      <c r="K22" s="368"/>
      <c r="L22" s="70"/>
      <c r="M22" s="71"/>
      <c r="N22" s="72"/>
      <c r="O22" s="73"/>
      <c r="P22" s="72"/>
      <c r="Q22" s="73"/>
      <c r="R22" s="72"/>
      <c r="S22" s="73"/>
      <c r="T22" s="72"/>
      <c r="U22" s="73"/>
      <c r="V22" s="72"/>
      <c r="W22" s="73"/>
      <c r="X22" s="72"/>
      <c r="Y22" s="74"/>
      <c r="Z22" s="72"/>
      <c r="AA22" s="75"/>
      <c r="AB22" s="369"/>
      <c r="AC22" s="369"/>
      <c r="AE22" s="480"/>
      <c r="AF22" s="480"/>
      <c r="AG22" s="480"/>
      <c r="AH22" s="480"/>
      <c r="AI22" s="480"/>
      <c r="AJ22" s="480"/>
      <c r="AK22" s="480"/>
      <c r="AL22" s="480"/>
      <c r="AM22" s="480"/>
      <c r="AN22" s="480"/>
      <c r="AO22" s="480"/>
      <c r="AP22" s="480"/>
      <c r="AQ22" s="480"/>
      <c r="AR22" s="480"/>
      <c r="AS22" s="480"/>
      <c r="AT22" s="480"/>
      <c r="AU22" s="480"/>
      <c r="AV22" s="480"/>
      <c r="AW22" s="480"/>
      <c r="AX22" s="480"/>
      <c r="AY22" s="480"/>
      <c r="AZ22" s="480"/>
      <c r="BA22" s="480"/>
      <c r="BB22" s="480"/>
      <c r="BC22" s="480"/>
      <c r="BD22" s="480"/>
      <c r="BE22" s="480"/>
      <c r="BF22" s="480"/>
      <c r="CA22" s="481"/>
      <c r="CB22" s="481"/>
      <c r="CC22" s="481"/>
      <c r="CD22" s="481"/>
      <c r="CE22" s="481"/>
      <c r="CF22" s="481"/>
      <c r="CG22" s="481"/>
      <c r="CH22" s="481"/>
      <c r="CI22" s="481"/>
      <c r="CJ22" s="481"/>
      <c r="CK22" s="481"/>
      <c r="CL22" s="481"/>
      <c r="CM22" s="481"/>
      <c r="CN22" s="481"/>
      <c r="CO22" s="481"/>
      <c r="CP22" s="481"/>
      <c r="CQ22" s="481"/>
      <c r="CR22" s="481"/>
      <c r="CS22" s="481"/>
      <c r="CT22" s="481"/>
      <c r="CU22" s="481"/>
      <c r="CV22" s="481"/>
      <c r="CW22" s="481"/>
      <c r="CX22" s="481"/>
      <c r="CY22" s="481"/>
      <c r="CZ22" s="481"/>
      <c r="DA22" s="481"/>
      <c r="DB22" s="481"/>
      <c r="DC22" s="481"/>
      <c r="DD22" s="481"/>
      <c r="DE22" s="481"/>
      <c r="DF22" s="481"/>
      <c r="DG22" s="481"/>
      <c r="DH22" s="481"/>
      <c r="DI22" s="481"/>
      <c r="DJ22" s="481"/>
      <c r="DK22" s="481"/>
      <c r="DL22" s="481"/>
      <c r="DM22" s="481"/>
      <c r="DN22" s="481"/>
      <c r="DO22" s="481"/>
      <c r="DP22" s="481"/>
    </row>
    <row r="23" spans="1:123" ht="15.75" thickBot="1" x14ac:dyDescent="0.3">
      <c r="A23" s="969"/>
      <c r="B23" s="76" t="s">
        <v>211</v>
      </c>
      <c r="C23" s="543">
        <v>0</v>
      </c>
      <c r="D23" s="543">
        <v>159</v>
      </c>
      <c r="E23" s="370">
        <f>SUM(C23:D23)</f>
        <v>159</v>
      </c>
      <c r="F23" s="355">
        <f>L23+N23+P23+R23</f>
        <v>0</v>
      </c>
      <c r="G23" s="355">
        <f>M23+O23+Q23+S23</f>
        <v>32</v>
      </c>
      <c r="H23" s="359">
        <f>SUM(F23:G23)</f>
        <v>32</v>
      </c>
      <c r="I23" s="356" t="e">
        <f t="shared" ref="I23:K23" si="16">F23/C23</f>
        <v>#DIV/0!</v>
      </c>
      <c r="J23" s="356">
        <f t="shared" si="16"/>
        <v>0.20125786163522014</v>
      </c>
      <c r="K23" s="356">
        <f t="shared" si="16"/>
        <v>0.20125786163522014</v>
      </c>
      <c r="L23" s="490"/>
      <c r="M23" s="497"/>
      <c r="N23" s="491"/>
      <c r="O23" s="495"/>
      <c r="P23" s="491"/>
      <c r="Q23" s="495">
        <v>32</v>
      </c>
      <c r="R23" s="491"/>
      <c r="S23" s="495"/>
      <c r="T23" s="77"/>
      <c r="U23" s="78"/>
      <c r="V23" s="77"/>
      <c r="W23" s="78"/>
      <c r="X23" s="77"/>
      <c r="Y23" s="79"/>
      <c r="Z23" s="77"/>
      <c r="AA23" s="80"/>
      <c r="AB23" s="357">
        <f t="shared" ref="AB23" si="17">E23/$E$29*100</f>
        <v>0.86113518197573657</v>
      </c>
      <c r="AC23" s="358">
        <f t="shared" ref="AC23" si="18">H23/$H$29*100</f>
        <v>0.1716001716001716</v>
      </c>
      <c r="AE23" s="480"/>
      <c r="AF23" s="480"/>
      <c r="AG23" s="480"/>
      <c r="AH23" s="480"/>
      <c r="AI23" s="480"/>
      <c r="AJ23" s="480"/>
      <c r="AK23" s="480"/>
      <c r="AL23" s="480"/>
      <c r="AM23" s="480"/>
      <c r="AN23" s="480"/>
      <c r="AO23" s="480"/>
      <c r="AP23" s="480"/>
      <c r="AQ23" s="480"/>
      <c r="AR23" s="480"/>
      <c r="AS23" s="480"/>
      <c r="AT23" s="480"/>
      <c r="AU23" s="480"/>
      <c r="AV23" s="480"/>
      <c r="AW23" s="480"/>
      <c r="AX23" s="480"/>
      <c r="AY23" s="480"/>
      <c r="AZ23" s="480"/>
      <c r="BA23" s="480"/>
      <c r="BB23" s="480"/>
      <c r="BC23" s="480"/>
      <c r="BD23" s="480"/>
      <c r="BE23" s="480"/>
      <c r="BF23" s="480"/>
      <c r="CA23" s="481"/>
      <c r="CB23" s="481"/>
      <c r="CC23" s="481"/>
      <c r="CD23" s="481"/>
      <c r="CE23" s="481"/>
      <c r="CF23" s="481"/>
      <c r="CG23" s="481"/>
      <c r="CH23" s="481"/>
      <c r="CI23" s="481"/>
      <c r="CJ23" s="481"/>
      <c r="CK23" s="481"/>
      <c r="CL23" s="481"/>
      <c r="CM23" s="481"/>
      <c r="CN23" s="481"/>
      <c r="CO23" s="481"/>
      <c r="CP23" s="481"/>
      <c r="CQ23" s="481"/>
      <c r="CR23" s="481"/>
      <c r="CS23" s="481"/>
      <c r="CT23" s="481"/>
      <c r="CU23" s="481"/>
      <c r="CV23" s="481"/>
      <c r="CW23" s="481"/>
      <c r="CX23" s="481"/>
      <c r="CY23" s="481"/>
      <c r="CZ23" s="481"/>
      <c r="DA23" s="481"/>
      <c r="DB23" s="481"/>
      <c r="DC23" s="481"/>
      <c r="DD23" s="481"/>
      <c r="DE23" s="481"/>
      <c r="DF23" s="481"/>
      <c r="DG23" s="481"/>
      <c r="DH23" s="481"/>
      <c r="DI23" s="481"/>
      <c r="DJ23" s="481"/>
      <c r="DK23" s="481"/>
      <c r="DL23" s="481"/>
      <c r="DM23" s="481"/>
      <c r="DN23" s="481"/>
      <c r="DO23" s="481"/>
      <c r="DP23" s="481"/>
    </row>
    <row r="24" spans="1:123" s="502" customFormat="1" ht="30" customHeight="1" thickBot="1" x14ac:dyDescent="0.3">
      <c r="A24" s="969"/>
      <c r="B24" s="81" t="s">
        <v>212</v>
      </c>
      <c r="C24" s="82" t="s">
        <v>263</v>
      </c>
      <c r="D24" s="82" t="s">
        <v>263</v>
      </c>
      <c r="E24" s="82" t="s">
        <v>263</v>
      </c>
      <c r="F24" s="355">
        <f>L24+N24+P24</f>
        <v>0</v>
      </c>
      <c r="G24" s="355">
        <f>M24+O24+Q24</f>
        <v>100</v>
      </c>
      <c r="H24" s="359">
        <f t="shared" ref="H24:H25" si="19">SUM(F24:G24)</f>
        <v>100</v>
      </c>
      <c r="I24" s="371" t="s">
        <v>263</v>
      </c>
      <c r="J24" s="371" t="s">
        <v>263</v>
      </c>
      <c r="K24" s="371" t="s">
        <v>263</v>
      </c>
      <c r="L24" s="498"/>
      <c r="M24" s="499"/>
      <c r="N24" s="500"/>
      <c r="O24" s="604">
        <v>100</v>
      </c>
      <c r="P24" s="491"/>
      <c r="Q24" s="495"/>
      <c r="R24" s="77"/>
      <c r="S24" s="78"/>
      <c r="T24" s="77"/>
      <c r="U24" s="78"/>
      <c r="V24" s="77"/>
      <c r="W24" s="78"/>
      <c r="X24" s="77"/>
      <c r="Y24" s="79"/>
      <c r="Z24" s="77"/>
      <c r="AA24" s="80"/>
      <c r="AB24" s="357" t="s">
        <v>263</v>
      </c>
      <c r="AC24" s="358">
        <f>H24/$H$29*100</f>
        <v>0.53625053625053631</v>
      </c>
      <c r="AD24" s="116"/>
      <c r="AE24" s="480"/>
      <c r="AF24" s="480"/>
      <c r="AG24" s="480"/>
      <c r="AH24" s="480"/>
      <c r="AI24" s="480"/>
      <c r="AJ24" s="480"/>
      <c r="AK24" s="480"/>
      <c r="AL24" s="480"/>
      <c r="AM24" s="480"/>
      <c r="AN24" s="480"/>
      <c r="AO24" s="480"/>
      <c r="AP24" s="480"/>
      <c r="AQ24" s="480"/>
      <c r="AR24" s="480"/>
      <c r="AS24" s="480"/>
      <c r="AT24" s="480"/>
      <c r="AU24" s="480"/>
      <c r="AV24" s="480"/>
      <c r="AW24" s="480"/>
      <c r="AX24" s="480"/>
      <c r="AY24" s="480"/>
      <c r="AZ24" s="480"/>
      <c r="BA24" s="480"/>
      <c r="BB24" s="480"/>
      <c r="BC24" s="480"/>
      <c r="BD24" s="480"/>
      <c r="BE24" s="480"/>
      <c r="BF24" s="480"/>
      <c r="BG24" s="480"/>
      <c r="BH24" s="480"/>
      <c r="BI24" s="480"/>
      <c r="BJ24" s="480"/>
      <c r="BK24" s="480"/>
      <c r="BL24" s="480"/>
      <c r="BM24" s="480"/>
      <c r="BN24" s="480"/>
      <c r="BO24" s="480"/>
      <c r="BP24" s="480"/>
      <c r="BQ24" s="480"/>
      <c r="BR24" s="480"/>
      <c r="BS24" s="480"/>
      <c r="BT24" s="480"/>
      <c r="BU24" s="480"/>
      <c r="BV24" s="480"/>
      <c r="BW24" s="480"/>
      <c r="BX24" s="480"/>
      <c r="BY24" s="480"/>
      <c r="BZ24" s="480"/>
    </row>
    <row r="25" spans="1:123" ht="15.75" thickBot="1" x14ac:dyDescent="0.3">
      <c r="A25" s="969"/>
      <c r="B25" s="87" t="s">
        <v>213</v>
      </c>
      <c r="C25" s="88" t="s">
        <v>263</v>
      </c>
      <c r="D25" s="88" t="s">
        <v>263</v>
      </c>
      <c r="E25" s="88" t="s">
        <v>263</v>
      </c>
      <c r="F25" s="355">
        <f>P25</f>
        <v>0</v>
      </c>
      <c r="G25" s="355">
        <f>Q25</f>
        <v>134</v>
      </c>
      <c r="H25" s="359">
        <f t="shared" si="19"/>
        <v>134</v>
      </c>
      <c r="I25" s="371" t="s">
        <v>263</v>
      </c>
      <c r="J25" s="371" t="s">
        <v>263</v>
      </c>
      <c r="K25" s="371" t="s">
        <v>263</v>
      </c>
      <c r="L25" s="77"/>
      <c r="M25" s="78"/>
      <c r="N25" s="77"/>
      <c r="O25" s="78"/>
      <c r="P25" s="500"/>
      <c r="Q25" s="491">
        <v>134</v>
      </c>
      <c r="R25" s="77"/>
      <c r="S25" s="78"/>
      <c r="T25" s="77"/>
      <c r="U25" s="78"/>
      <c r="V25" s="77"/>
      <c r="W25" s="78"/>
      <c r="X25" s="77"/>
      <c r="Y25" s="79"/>
      <c r="Z25" s="77"/>
      <c r="AA25" s="80"/>
      <c r="AB25" s="357" t="s">
        <v>263</v>
      </c>
      <c r="AC25" s="358">
        <f>H25/$H$29*100</f>
        <v>0.71857571857571856</v>
      </c>
      <c r="AE25" s="480"/>
      <c r="AF25" s="480"/>
      <c r="AG25" s="480"/>
      <c r="AH25" s="480"/>
      <c r="AI25" s="480"/>
      <c r="AJ25" s="480"/>
      <c r="AK25" s="480"/>
      <c r="AL25" s="480"/>
      <c r="AM25" s="480"/>
      <c r="AN25" s="480"/>
      <c r="AO25" s="480"/>
      <c r="AP25" s="480"/>
      <c r="AQ25" s="480"/>
      <c r="AR25" s="480"/>
      <c r="AS25" s="480"/>
      <c r="AT25" s="480"/>
      <c r="AU25" s="480"/>
      <c r="AV25" s="480"/>
      <c r="AW25" s="480"/>
      <c r="AX25" s="480"/>
      <c r="AY25" s="480"/>
      <c r="AZ25" s="480"/>
      <c r="BA25" s="480"/>
      <c r="BB25" s="480"/>
      <c r="BC25" s="480"/>
      <c r="BD25" s="480"/>
      <c r="BE25" s="480"/>
      <c r="BF25" s="480"/>
      <c r="CA25" s="481"/>
      <c r="CB25" s="481"/>
      <c r="CC25" s="481"/>
      <c r="CD25" s="481"/>
      <c r="CE25" s="481"/>
      <c r="CF25" s="481"/>
      <c r="CG25" s="481"/>
      <c r="CH25" s="481"/>
      <c r="CI25" s="481"/>
      <c r="CJ25" s="481"/>
      <c r="CK25" s="481"/>
      <c r="CL25" s="481"/>
      <c r="CM25" s="481"/>
      <c r="CN25" s="481"/>
      <c r="CO25" s="481"/>
      <c r="CP25" s="481"/>
      <c r="CQ25" s="481"/>
      <c r="CR25" s="481"/>
      <c r="CS25" s="481"/>
      <c r="CT25" s="481"/>
      <c r="CU25" s="481"/>
      <c r="CV25" s="481"/>
      <c r="CW25" s="481"/>
      <c r="CX25" s="481"/>
      <c r="CY25" s="481"/>
      <c r="CZ25" s="481"/>
      <c r="DA25" s="481"/>
      <c r="DB25" s="481"/>
      <c r="DC25" s="481"/>
      <c r="DD25" s="481"/>
      <c r="DE25" s="481"/>
      <c r="DF25" s="481"/>
      <c r="DG25" s="481"/>
      <c r="DH25" s="481"/>
      <c r="DI25" s="481"/>
      <c r="DJ25" s="481"/>
      <c r="DK25" s="481"/>
      <c r="DL25" s="481"/>
      <c r="DM25" s="481"/>
      <c r="DN25" s="481"/>
      <c r="DO25" s="481"/>
      <c r="DP25" s="481"/>
    </row>
    <row r="26" spans="1:123" ht="20.25" customHeight="1" thickBot="1" x14ac:dyDescent="0.3">
      <c r="A26" s="969"/>
      <c r="B26" s="65" t="s">
        <v>214</v>
      </c>
      <c r="C26" s="89"/>
      <c r="D26" s="89"/>
      <c r="E26" s="89"/>
      <c r="F26" s="69"/>
      <c r="G26" s="69"/>
      <c r="H26" s="69"/>
      <c r="I26" s="67"/>
      <c r="J26" s="68"/>
      <c r="K26" s="368"/>
      <c r="L26" s="70"/>
      <c r="M26" s="71"/>
      <c r="N26" s="72"/>
      <c r="O26" s="73"/>
      <c r="P26" s="72"/>
      <c r="Q26" s="73"/>
      <c r="R26" s="72"/>
      <c r="S26" s="73"/>
      <c r="T26" s="72"/>
      <c r="U26" s="73"/>
      <c r="V26" s="72"/>
      <c r="W26" s="73"/>
      <c r="X26" s="72"/>
      <c r="Y26" s="74"/>
      <c r="Z26" s="72"/>
      <c r="AA26" s="75"/>
      <c r="AB26" s="372"/>
      <c r="AC26" s="372"/>
      <c r="AE26" s="480"/>
      <c r="AF26" s="480"/>
      <c r="AG26" s="480"/>
      <c r="AH26" s="480"/>
      <c r="AI26" s="480"/>
      <c r="AJ26" s="480"/>
      <c r="AK26" s="480"/>
      <c r="AL26" s="480"/>
      <c r="AM26" s="480"/>
      <c r="AN26" s="480"/>
      <c r="AO26" s="480"/>
      <c r="AP26" s="480"/>
      <c r="AQ26" s="480"/>
      <c r="AR26" s="480"/>
      <c r="AS26" s="480"/>
      <c r="AT26" s="480"/>
      <c r="AU26" s="480"/>
      <c r="AV26" s="480"/>
      <c r="AW26" s="480"/>
      <c r="AX26" s="480"/>
      <c r="AY26" s="480"/>
      <c r="AZ26" s="480"/>
      <c r="BA26" s="480"/>
      <c r="BB26" s="480"/>
      <c r="BC26" s="480"/>
      <c r="BD26" s="480"/>
      <c r="BE26" s="480"/>
      <c r="BF26" s="480"/>
      <c r="CA26" s="481"/>
      <c r="CB26" s="481"/>
      <c r="CC26" s="481"/>
      <c r="CD26" s="481"/>
      <c r="CE26" s="481"/>
      <c r="CF26" s="481"/>
      <c r="CG26" s="481"/>
      <c r="CH26" s="481"/>
      <c r="CI26" s="481"/>
      <c r="CJ26" s="481"/>
      <c r="CK26" s="481"/>
      <c r="CL26" s="481"/>
      <c r="CM26" s="481"/>
      <c r="CN26" s="481"/>
      <c r="CO26" s="481"/>
      <c r="CP26" s="481"/>
      <c r="CQ26" s="481"/>
      <c r="CR26" s="481"/>
      <c r="CS26" s="481"/>
      <c r="CT26" s="481"/>
      <c r="CU26" s="481"/>
      <c r="CV26" s="481"/>
      <c r="CW26" s="481"/>
      <c r="CX26" s="481"/>
      <c r="CY26" s="481"/>
      <c r="CZ26" s="481"/>
      <c r="DA26" s="481"/>
      <c r="DB26" s="481"/>
      <c r="DC26" s="481"/>
      <c r="DD26" s="481"/>
      <c r="DE26" s="481"/>
      <c r="DF26" s="481"/>
      <c r="DG26" s="481"/>
      <c r="DH26" s="481"/>
      <c r="DI26" s="481"/>
      <c r="DJ26" s="481"/>
      <c r="DK26" s="481"/>
      <c r="DL26" s="481"/>
      <c r="DM26" s="481"/>
      <c r="DN26" s="481"/>
      <c r="DO26" s="481"/>
      <c r="DP26" s="481"/>
    </row>
    <row r="27" spans="1:123" ht="15.75" thickBot="1" x14ac:dyDescent="0.3">
      <c r="A27" s="970"/>
      <c r="B27" s="90" t="s">
        <v>215</v>
      </c>
      <c r="C27" s="88">
        <v>572</v>
      </c>
      <c r="D27" s="88">
        <v>403</v>
      </c>
      <c r="E27" s="373">
        <f>SUM(C27:D27)</f>
        <v>975</v>
      </c>
      <c r="F27" s="355">
        <f>P27+R27</f>
        <v>410</v>
      </c>
      <c r="G27" s="355">
        <f>Q27+S27</f>
        <v>558</v>
      </c>
      <c r="H27" s="359">
        <f>SUM(F27:G27)</f>
        <v>968</v>
      </c>
      <c r="I27" s="356">
        <f t="shared" ref="I27:K29" si="20">F27/C27</f>
        <v>0.71678321678321677</v>
      </c>
      <c r="J27" s="356">
        <f t="shared" si="20"/>
        <v>1.3846153846153846</v>
      </c>
      <c r="K27" s="356">
        <f t="shared" si="20"/>
        <v>0.99282051282051287</v>
      </c>
      <c r="L27" s="77"/>
      <c r="M27" s="78"/>
      <c r="N27" s="77"/>
      <c r="O27" s="78"/>
      <c r="P27" s="491">
        <f>40+30</f>
        <v>70</v>
      </c>
      <c r="Q27" s="495">
        <f>82+66</f>
        <v>148</v>
      </c>
      <c r="R27" s="491">
        <v>340</v>
      </c>
      <c r="S27" s="495">
        <f>338+72</f>
        <v>410</v>
      </c>
      <c r="T27" s="77"/>
      <c r="U27" s="78"/>
      <c r="V27" s="77"/>
      <c r="W27" s="78"/>
      <c r="X27" s="77"/>
      <c r="Y27" s="79"/>
      <c r="Z27" s="77"/>
      <c r="AA27" s="80"/>
      <c r="AB27" s="357">
        <f>E27/$E$29*100</f>
        <v>5.2805459272097055</v>
      </c>
      <c r="AC27" s="358">
        <f>H27/$H$29*100</f>
        <v>5.1909051909051911</v>
      </c>
      <c r="AE27" s="480"/>
      <c r="AF27" s="480"/>
      <c r="AG27" s="480"/>
      <c r="AH27" s="480"/>
      <c r="AI27" s="480"/>
      <c r="AJ27" s="480"/>
      <c r="AK27" s="480"/>
      <c r="AL27" s="480"/>
      <c r="AM27" s="480"/>
      <c r="AN27" s="480"/>
      <c r="AO27" s="480"/>
      <c r="AP27" s="480"/>
      <c r="AQ27" s="480"/>
      <c r="AR27" s="480"/>
      <c r="AS27" s="480"/>
      <c r="AT27" s="480"/>
      <c r="AU27" s="480"/>
      <c r="AV27" s="480"/>
      <c r="AW27" s="480"/>
      <c r="AX27" s="480"/>
      <c r="AY27" s="480"/>
      <c r="AZ27" s="480"/>
      <c r="BA27" s="480"/>
      <c r="BB27" s="480"/>
      <c r="BC27" s="480"/>
      <c r="BD27" s="480"/>
      <c r="BE27" s="480"/>
      <c r="BF27" s="480"/>
      <c r="CA27" s="481"/>
      <c r="CB27" s="481"/>
      <c r="CC27" s="481"/>
      <c r="CD27" s="481"/>
      <c r="CE27" s="481"/>
      <c r="CF27" s="481"/>
      <c r="CG27" s="481"/>
      <c r="CH27" s="481"/>
      <c r="CI27" s="481"/>
      <c r="CJ27" s="481"/>
      <c r="CK27" s="481"/>
      <c r="CL27" s="481"/>
      <c r="CM27" s="481"/>
      <c r="CN27" s="481"/>
      <c r="CO27" s="481"/>
      <c r="CP27" s="481"/>
      <c r="CQ27" s="481"/>
      <c r="CR27" s="481"/>
      <c r="CS27" s="481"/>
      <c r="CT27" s="481"/>
      <c r="CU27" s="481"/>
      <c r="CV27" s="481"/>
      <c r="CW27" s="481"/>
      <c r="CX27" s="481"/>
      <c r="CY27" s="481"/>
      <c r="CZ27" s="481"/>
      <c r="DA27" s="481"/>
      <c r="DB27" s="481"/>
      <c r="DC27" s="481"/>
      <c r="DD27" s="481"/>
      <c r="DE27" s="481"/>
      <c r="DF27" s="481"/>
      <c r="DG27" s="481"/>
      <c r="DH27" s="481"/>
      <c r="DI27" s="481"/>
      <c r="DJ27" s="481"/>
      <c r="DK27" s="481"/>
      <c r="DL27" s="481"/>
      <c r="DM27" s="481"/>
      <c r="DN27" s="481"/>
      <c r="DO27" s="481"/>
      <c r="DP27" s="481"/>
    </row>
    <row r="28" spans="1:123" ht="15.75" thickBot="1" x14ac:dyDescent="0.3">
      <c r="A28" s="970"/>
      <c r="B28" s="91" t="s">
        <v>216</v>
      </c>
      <c r="C28" s="88">
        <v>181</v>
      </c>
      <c r="D28" s="88">
        <v>0</v>
      </c>
      <c r="E28" s="373">
        <f>SUM(C28:D28)</f>
        <v>181</v>
      </c>
      <c r="F28" s="374">
        <f>T28+V28</f>
        <v>229</v>
      </c>
      <c r="G28" s="374">
        <f>U28+W28</f>
        <v>0</v>
      </c>
      <c r="H28" s="359">
        <f>SUM(F28:G28)</f>
        <v>229</v>
      </c>
      <c r="I28" s="356">
        <f t="shared" si="20"/>
        <v>1.2651933701657458</v>
      </c>
      <c r="J28" s="356" t="e">
        <f t="shared" si="20"/>
        <v>#DIV/0!</v>
      </c>
      <c r="K28" s="356">
        <f t="shared" si="20"/>
        <v>1.2651933701657458</v>
      </c>
      <c r="L28" s="92"/>
      <c r="M28" s="93"/>
      <c r="N28" s="92"/>
      <c r="O28" s="93"/>
      <c r="P28" s="92"/>
      <c r="Q28" s="93"/>
      <c r="R28" s="92"/>
      <c r="S28" s="93"/>
      <c r="T28" s="504">
        <v>10</v>
      </c>
      <c r="U28" s="505"/>
      <c r="V28" s="504">
        <v>219</v>
      </c>
      <c r="W28" s="505"/>
      <c r="X28" s="92"/>
      <c r="Y28" s="95"/>
      <c r="Z28" s="92"/>
      <c r="AA28" s="96"/>
      <c r="AB28" s="357">
        <f>E28/$E$29*100</f>
        <v>0.98028596187175054</v>
      </c>
      <c r="AC28" s="358">
        <f>H28/$H$29*100</f>
        <v>1.228013728013728</v>
      </c>
      <c r="AE28" s="480"/>
      <c r="AF28" s="480"/>
      <c r="AG28" s="480"/>
      <c r="AH28" s="480"/>
      <c r="AI28" s="480"/>
      <c r="AJ28" s="480"/>
      <c r="AK28" s="480"/>
      <c r="AL28" s="480"/>
      <c r="AM28" s="480"/>
      <c r="AN28" s="480"/>
      <c r="AO28" s="480"/>
      <c r="AP28" s="480"/>
      <c r="AQ28" s="480"/>
      <c r="AR28" s="480"/>
      <c r="AS28" s="480"/>
      <c r="AT28" s="480"/>
      <c r="AU28" s="480"/>
      <c r="AV28" s="480"/>
      <c r="AW28" s="480"/>
      <c r="AX28" s="480"/>
      <c r="AY28" s="480"/>
      <c r="AZ28" s="480"/>
      <c r="BA28" s="480"/>
      <c r="BB28" s="480"/>
      <c r="BC28" s="480"/>
      <c r="BD28" s="480"/>
      <c r="BE28" s="480"/>
      <c r="BF28" s="480"/>
      <c r="CA28" s="481"/>
      <c r="CB28" s="481"/>
      <c r="CC28" s="481"/>
      <c r="CD28" s="481"/>
      <c r="CE28" s="481"/>
      <c r="CF28" s="481"/>
      <c r="CG28" s="481"/>
      <c r="CH28" s="481"/>
      <c r="CI28" s="481"/>
      <c r="CJ28" s="481"/>
      <c r="CK28" s="481"/>
      <c r="CL28" s="481"/>
      <c r="CM28" s="481"/>
      <c r="CN28" s="481"/>
      <c r="CO28" s="481"/>
      <c r="CP28" s="481"/>
      <c r="CQ28" s="481"/>
      <c r="CR28" s="481"/>
      <c r="CS28" s="481"/>
      <c r="CT28" s="481"/>
      <c r="CU28" s="481"/>
      <c r="CV28" s="481"/>
      <c r="CW28" s="481"/>
      <c r="CX28" s="481"/>
      <c r="CY28" s="481"/>
      <c r="CZ28" s="481"/>
      <c r="DA28" s="481"/>
      <c r="DB28" s="481"/>
      <c r="DC28" s="481"/>
      <c r="DD28" s="481"/>
      <c r="DE28" s="481"/>
      <c r="DF28" s="481"/>
      <c r="DG28" s="481"/>
      <c r="DH28" s="481"/>
      <c r="DI28" s="481"/>
      <c r="DJ28" s="481"/>
      <c r="DK28" s="481"/>
      <c r="DL28" s="481"/>
      <c r="DM28" s="481"/>
      <c r="DN28" s="481"/>
      <c r="DO28" s="481"/>
      <c r="DP28" s="481"/>
    </row>
    <row r="29" spans="1:123" ht="48.75" customHeight="1" thickTop="1" thickBot="1" x14ac:dyDescent="0.3">
      <c r="A29" s="742" t="s">
        <v>217</v>
      </c>
      <c r="B29" s="789"/>
      <c r="C29" s="375">
        <f>SUM(C20:C28)</f>
        <v>13584</v>
      </c>
      <c r="D29" s="375">
        <f t="shared" ref="D29:E29" si="21">SUM(D20:D28)</f>
        <v>4880</v>
      </c>
      <c r="E29" s="375">
        <f t="shared" si="21"/>
        <v>18464</v>
      </c>
      <c r="F29" s="376">
        <f>SUM(F20:F28)</f>
        <v>13546</v>
      </c>
      <c r="G29" s="375">
        <f>SUM(G20:G28)</f>
        <v>5102</v>
      </c>
      <c r="H29" s="359">
        <f>SUM(F29:G29)</f>
        <v>18648</v>
      </c>
      <c r="I29" s="356">
        <f>F29/C29</f>
        <v>0.99720259128386335</v>
      </c>
      <c r="J29" s="356">
        <f t="shared" si="20"/>
        <v>1.0454918032786886</v>
      </c>
      <c r="K29" s="356">
        <f t="shared" si="20"/>
        <v>1.0099653379549394</v>
      </c>
      <c r="L29" s="377">
        <f>SUM(L20:L28)</f>
        <v>2821</v>
      </c>
      <c r="M29" s="378">
        <f t="shared" ref="M29:AA29" si="22">SUM(M20:M28)</f>
        <v>87</v>
      </c>
      <c r="N29" s="378">
        <f t="shared" si="22"/>
        <v>882</v>
      </c>
      <c r="O29" s="378">
        <f t="shared" si="22"/>
        <v>225</v>
      </c>
      <c r="P29" s="378">
        <f>SUM(P20:P28)</f>
        <v>5353</v>
      </c>
      <c r="Q29" s="378">
        <f t="shared" si="22"/>
        <v>857</v>
      </c>
      <c r="R29" s="378">
        <f t="shared" si="22"/>
        <v>3165</v>
      </c>
      <c r="S29" s="378">
        <f t="shared" si="22"/>
        <v>2446</v>
      </c>
      <c r="T29" s="378">
        <f t="shared" si="22"/>
        <v>538</v>
      </c>
      <c r="U29" s="378">
        <f t="shared" si="22"/>
        <v>64</v>
      </c>
      <c r="V29" s="378">
        <f>SUM(V20:V28)</f>
        <v>623</v>
      </c>
      <c r="W29" s="378">
        <f t="shared" si="22"/>
        <v>1294</v>
      </c>
      <c r="X29" s="378">
        <f t="shared" si="22"/>
        <v>145</v>
      </c>
      <c r="Y29" s="379">
        <f t="shared" si="22"/>
        <v>129</v>
      </c>
      <c r="Z29" s="380">
        <f>SUM(Z20:Z28)</f>
        <v>19</v>
      </c>
      <c r="AA29" s="381">
        <f t="shared" si="22"/>
        <v>0</v>
      </c>
      <c r="BG29" s="116"/>
      <c r="BH29" s="116"/>
      <c r="BI29" s="116"/>
      <c r="DQ29" s="480"/>
      <c r="DR29" s="480"/>
      <c r="DS29" s="480"/>
    </row>
    <row r="30" spans="1:123" ht="9" customHeight="1" thickBot="1" x14ac:dyDescent="0.3">
      <c r="A30" s="97"/>
      <c r="B30" s="98"/>
      <c r="C30" s="382"/>
      <c r="D30" s="382"/>
      <c r="E30" s="382"/>
      <c r="F30" s="99"/>
      <c r="G30" s="100"/>
      <c r="H30" s="101"/>
      <c r="I30" s="101"/>
      <c r="J30" s="101"/>
      <c r="K30" s="101"/>
      <c r="L30" s="102"/>
      <c r="M30" s="102"/>
      <c r="N30" s="102"/>
      <c r="O30" s="102"/>
      <c r="P30" s="102"/>
      <c r="Q30" s="102"/>
      <c r="R30" s="102"/>
      <c r="S30" s="102"/>
      <c r="T30" s="102"/>
      <c r="U30" s="102"/>
      <c r="V30" s="102"/>
      <c r="W30" s="102"/>
      <c r="X30" s="102"/>
      <c r="Y30" s="102"/>
      <c r="Z30" s="103"/>
      <c r="AA30" s="104"/>
      <c r="BG30" s="116"/>
      <c r="BH30" s="116"/>
      <c r="BI30" s="116"/>
      <c r="DQ30" s="480"/>
      <c r="DR30" s="480"/>
      <c r="DS30" s="480"/>
    </row>
    <row r="31" spans="1:123" ht="28.5" customHeight="1" thickBot="1" x14ac:dyDescent="0.3">
      <c r="A31" s="790" t="s">
        <v>218</v>
      </c>
      <c r="B31" s="791"/>
      <c r="C31" s="544"/>
      <c r="D31" s="544"/>
      <c r="E31" s="373">
        <f>SUM(C31:D31)</f>
        <v>0</v>
      </c>
      <c r="F31" s="355">
        <f>L31+N31+P31+R31+T31+V31+X31+Z31</f>
        <v>0</v>
      </c>
      <c r="G31" s="355">
        <f>M31+O31+Q31+S31+U31+W31+Y31+AA31</f>
        <v>0</v>
      </c>
      <c r="H31" s="355">
        <f>SUM(F31:G31)</f>
        <v>0</v>
      </c>
      <c r="I31" s="356" t="e">
        <f>F31/C31</f>
        <v>#DIV/0!</v>
      </c>
      <c r="J31" s="356" t="e">
        <f>G31/D31</f>
        <v>#DIV/0!</v>
      </c>
      <c r="K31" s="356" t="e">
        <f>H31/E31</f>
        <v>#DIV/0!</v>
      </c>
      <c r="L31" s="493"/>
      <c r="M31" s="495"/>
      <c r="N31" s="491"/>
      <c r="O31" s="495"/>
      <c r="P31" s="491"/>
      <c r="Q31" s="495"/>
      <c r="R31" s="491"/>
      <c r="S31" s="495"/>
      <c r="T31" s="491"/>
      <c r="U31" s="495"/>
      <c r="V31" s="491"/>
      <c r="W31" s="495"/>
      <c r="X31" s="491"/>
      <c r="Y31" s="494"/>
      <c r="Z31" s="491"/>
      <c r="AA31" s="492"/>
      <c r="AK31" s="480"/>
      <c r="AL31" s="480"/>
      <c r="AM31" s="480"/>
      <c r="AN31" s="480"/>
      <c r="AO31" s="480"/>
      <c r="AP31" s="480"/>
      <c r="AQ31" s="480"/>
      <c r="AR31" s="480"/>
      <c r="AS31" s="480"/>
      <c r="AT31" s="480"/>
      <c r="AU31" s="480"/>
      <c r="AV31" s="480"/>
      <c r="AW31" s="480"/>
      <c r="AX31" s="480"/>
      <c r="AY31" s="480"/>
      <c r="AZ31" s="480"/>
      <c r="BA31" s="480"/>
      <c r="BB31" s="480"/>
      <c r="BC31" s="480"/>
      <c r="BD31" s="480"/>
      <c r="BE31" s="480"/>
      <c r="BF31" s="480"/>
      <c r="CU31" s="481"/>
      <c r="CV31" s="481"/>
      <c r="CW31" s="481"/>
      <c r="CX31" s="481"/>
      <c r="CY31" s="481"/>
      <c r="CZ31" s="481"/>
      <c r="DA31" s="481"/>
      <c r="DB31" s="481"/>
      <c r="DC31" s="481"/>
      <c r="DD31" s="481"/>
      <c r="DE31" s="481"/>
      <c r="DF31" s="481"/>
      <c r="DG31" s="481"/>
      <c r="DH31" s="481"/>
      <c r="DI31" s="481"/>
      <c r="DJ31" s="481"/>
      <c r="DK31" s="481"/>
      <c r="DL31" s="481"/>
      <c r="DM31" s="481"/>
      <c r="DN31" s="481"/>
      <c r="DO31" s="481"/>
      <c r="DP31" s="481"/>
    </row>
    <row r="32" spans="1:123" x14ac:dyDescent="0.25">
      <c r="BG32" s="116"/>
      <c r="DQ32" s="480"/>
    </row>
    <row r="33" spans="1:122" x14ac:dyDescent="0.25">
      <c r="BG33" s="116"/>
      <c r="DQ33" s="480"/>
    </row>
    <row r="34" spans="1:122" ht="15.75" thickBot="1" x14ac:dyDescent="0.3">
      <c r="BG34" s="116"/>
      <c r="DQ34" s="480"/>
    </row>
    <row r="35" spans="1:122" ht="75.75" customHeight="1" x14ac:dyDescent="0.25">
      <c r="A35" s="925" t="s">
        <v>219</v>
      </c>
      <c r="B35" s="866"/>
      <c r="C35" s="711" t="s">
        <v>302</v>
      </c>
      <c r="D35" s="712"/>
      <c r="E35" s="713"/>
      <c r="F35" s="927" t="s">
        <v>303</v>
      </c>
      <c r="G35" s="928"/>
      <c r="H35" s="929"/>
      <c r="I35" s="927" t="s">
        <v>304</v>
      </c>
      <c r="J35" s="928"/>
      <c r="K35" s="928"/>
      <c r="L35" s="930" t="s">
        <v>182</v>
      </c>
      <c r="M35" s="931"/>
      <c r="N35" s="932" t="s">
        <v>183</v>
      </c>
      <c r="O35" s="933"/>
      <c r="P35" s="934" t="s">
        <v>184</v>
      </c>
      <c r="Q35" s="935"/>
      <c r="R35" s="936" t="s">
        <v>185</v>
      </c>
      <c r="S35" s="937"/>
      <c r="T35" s="948" t="s">
        <v>186</v>
      </c>
      <c r="U35" s="949"/>
      <c r="V35" s="950" t="s">
        <v>187</v>
      </c>
      <c r="W35" s="951"/>
      <c r="X35" s="952" t="s">
        <v>188</v>
      </c>
      <c r="Y35" s="953"/>
      <c r="Z35" s="954" t="s">
        <v>189</v>
      </c>
      <c r="AA35" s="955"/>
      <c r="AB35" s="331" t="s">
        <v>305</v>
      </c>
      <c r="AC35" s="331" t="s">
        <v>306</v>
      </c>
      <c r="BG35" s="116"/>
      <c r="BH35" s="116"/>
      <c r="DQ35" s="480"/>
      <c r="DR35" s="480"/>
    </row>
    <row r="36" spans="1:122" ht="15.75" customHeight="1" x14ac:dyDescent="0.25">
      <c r="A36" s="926"/>
      <c r="B36" s="868"/>
      <c r="C36" s="719" t="s">
        <v>117</v>
      </c>
      <c r="D36" s="728"/>
      <c r="E36" s="729"/>
      <c r="F36" s="956" t="s">
        <v>117</v>
      </c>
      <c r="G36" s="957"/>
      <c r="H36" s="958"/>
      <c r="I36" s="959" t="s">
        <v>117</v>
      </c>
      <c r="J36" s="960"/>
      <c r="K36" s="960"/>
      <c r="L36" s="961" t="s">
        <v>117</v>
      </c>
      <c r="M36" s="962"/>
      <c r="N36" s="963" t="s">
        <v>117</v>
      </c>
      <c r="O36" s="964"/>
      <c r="P36" s="965" t="s">
        <v>117</v>
      </c>
      <c r="Q36" s="966"/>
      <c r="R36" s="938" t="s">
        <v>117</v>
      </c>
      <c r="S36" s="939"/>
      <c r="T36" s="940" t="s">
        <v>117</v>
      </c>
      <c r="U36" s="941"/>
      <c r="V36" s="942" t="s">
        <v>117</v>
      </c>
      <c r="W36" s="943"/>
      <c r="X36" s="944" t="s">
        <v>117</v>
      </c>
      <c r="Y36" s="945"/>
      <c r="Z36" s="946" t="s">
        <v>117</v>
      </c>
      <c r="AA36" s="947"/>
      <c r="AB36" s="332" t="s">
        <v>117</v>
      </c>
      <c r="AC36" s="332" t="s">
        <v>117</v>
      </c>
      <c r="BG36" s="116"/>
      <c r="BH36" s="116"/>
      <c r="DQ36" s="480"/>
      <c r="DR36" s="480"/>
    </row>
    <row r="37" spans="1:122" ht="15.75" thickBot="1" x14ac:dyDescent="0.3">
      <c r="A37" s="806"/>
      <c r="B37" s="807"/>
      <c r="C37" s="31" t="s">
        <v>158</v>
      </c>
      <c r="D37" s="179" t="s">
        <v>156</v>
      </c>
      <c r="E37" s="333" t="s">
        <v>193</v>
      </c>
      <c r="F37" s="334" t="s">
        <v>158</v>
      </c>
      <c r="G37" s="335" t="s">
        <v>156</v>
      </c>
      <c r="H37" s="333" t="s">
        <v>193</v>
      </c>
      <c r="I37" s="334" t="s">
        <v>158</v>
      </c>
      <c r="J37" s="336" t="s">
        <v>156</v>
      </c>
      <c r="K37" s="333" t="s">
        <v>193</v>
      </c>
      <c r="L37" s="337" t="s">
        <v>158</v>
      </c>
      <c r="M37" s="338" t="s">
        <v>156</v>
      </c>
      <c r="N37" s="339" t="s">
        <v>158</v>
      </c>
      <c r="O37" s="340" t="s">
        <v>156</v>
      </c>
      <c r="P37" s="341" t="s">
        <v>158</v>
      </c>
      <c r="Q37" s="342" t="s">
        <v>156</v>
      </c>
      <c r="R37" s="343" t="s">
        <v>158</v>
      </c>
      <c r="S37" s="344" t="s">
        <v>156</v>
      </c>
      <c r="T37" s="345" t="s">
        <v>158</v>
      </c>
      <c r="U37" s="346" t="s">
        <v>156</v>
      </c>
      <c r="V37" s="347" t="s">
        <v>158</v>
      </c>
      <c r="W37" s="348" t="s">
        <v>156</v>
      </c>
      <c r="X37" s="349" t="s">
        <v>158</v>
      </c>
      <c r="Y37" s="350" t="s">
        <v>156</v>
      </c>
      <c r="Z37" s="351" t="s">
        <v>158</v>
      </c>
      <c r="AA37" s="352" t="s">
        <v>156</v>
      </c>
      <c r="AB37" s="353" t="s">
        <v>194</v>
      </c>
      <c r="AC37" s="353" t="s">
        <v>194</v>
      </c>
      <c r="BG37" s="116"/>
      <c r="BH37" s="116"/>
      <c r="DQ37" s="480"/>
      <c r="DR37" s="480"/>
    </row>
    <row r="38" spans="1:122" ht="67.5" customHeight="1" thickBot="1" x14ac:dyDescent="0.3">
      <c r="A38" s="723" t="s">
        <v>220</v>
      </c>
      <c r="B38" s="724"/>
      <c r="C38" s="600">
        <v>2172</v>
      </c>
      <c r="D38" s="538">
        <f>2569+42+374</f>
        <v>2985</v>
      </c>
      <c r="E38" s="354">
        <f>SUM(C38:D38)</f>
        <v>5157</v>
      </c>
      <c r="F38" s="355">
        <f>L38+N38+P38+R38</f>
        <v>2017</v>
      </c>
      <c r="G38" s="355">
        <f>M38+O38+Q38+S38</f>
        <v>2791</v>
      </c>
      <c r="H38" s="355">
        <f>SUM(F38:G38)</f>
        <v>4808</v>
      </c>
      <c r="I38" s="356">
        <f>F38/C38</f>
        <v>0.92863720073664824</v>
      </c>
      <c r="J38" s="356">
        <f t="shared" ref="J38:K53" si="23">G38/D38</f>
        <v>0.93500837520938018</v>
      </c>
      <c r="K38" s="356">
        <f t="shared" si="23"/>
        <v>0.93232499515222034</v>
      </c>
      <c r="L38" s="490">
        <f>ROUNDUP(L6*0.36,0)</f>
        <v>546</v>
      </c>
      <c r="M38" s="601">
        <v>87</v>
      </c>
      <c r="N38" s="491">
        <f>ROUNDUP(N6*0.32,0)</f>
        <v>158</v>
      </c>
      <c r="O38" s="492">
        <f>135-10</f>
        <v>125</v>
      </c>
      <c r="P38" s="493">
        <f>ROUNDUP(P6*0.12,0)</f>
        <v>540</v>
      </c>
      <c r="Q38" s="494">
        <v>543</v>
      </c>
      <c r="R38" s="491">
        <f>ROUNDUP(R6*0.34,0)</f>
        <v>773</v>
      </c>
      <c r="S38" s="492">
        <f>2096-60</f>
        <v>2036</v>
      </c>
      <c r="T38" s="38"/>
      <c r="U38" s="39"/>
      <c r="V38" s="38"/>
      <c r="W38" s="39"/>
      <c r="X38" s="38"/>
      <c r="Y38" s="40"/>
      <c r="Z38" s="38"/>
      <c r="AA38" s="41"/>
      <c r="AB38" s="357">
        <f t="shared" ref="AB38:AB53" si="24">E38/$E$61*100</f>
        <v>50.832922621981268</v>
      </c>
      <c r="AC38" s="357">
        <f t="shared" ref="AC38:AC53" si="25">H38/$H$61*100</f>
        <v>42.707408065375738</v>
      </c>
      <c r="BG38" s="116"/>
      <c r="BH38" s="116"/>
      <c r="DQ38" s="480"/>
      <c r="DR38" s="480"/>
    </row>
    <row r="39" spans="1:122" ht="67.5" customHeight="1" thickBot="1" x14ac:dyDescent="0.3">
      <c r="A39" s="748" t="s">
        <v>196</v>
      </c>
      <c r="B39" s="749"/>
      <c r="C39" s="599">
        <v>668</v>
      </c>
      <c r="D39" s="539">
        <v>1260</v>
      </c>
      <c r="E39" s="354">
        <f t="shared" ref="E39:E49" si="26">SUM(C39:D39)</f>
        <v>1928</v>
      </c>
      <c r="F39" s="355">
        <f>T39+V39+X39+Z39</f>
        <v>664</v>
      </c>
      <c r="G39" s="355">
        <f>U39+W39+Y39+AA39</f>
        <v>1487</v>
      </c>
      <c r="H39" s="359">
        <f t="shared" ref="H39:H49" si="27">SUM(F39:G39)</f>
        <v>2151</v>
      </c>
      <c r="I39" s="356">
        <f t="shared" ref="I39:J53" si="28">F39/C39</f>
        <v>0.99401197604790414</v>
      </c>
      <c r="J39" s="356">
        <f t="shared" si="23"/>
        <v>1.1801587301587302</v>
      </c>
      <c r="K39" s="356">
        <f t="shared" si="23"/>
        <v>1.1156639004149378</v>
      </c>
      <c r="L39" s="42"/>
      <c r="M39" s="43"/>
      <c r="N39" s="44"/>
      <c r="O39" s="43"/>
      <c r="P39" s="44"/>
      <c r="Q39" s="43"/>
      <c r="R39" s="44"/>
      <c r="S39" s="43"/>
      <c r="T39" s="491">
        <f>ROUNDUP(T7*0.83,0)</f>
        <v>274</v>
      </c>
      <c r="U39" s="601">
        <v>64</v>
      </c>
      <c r="V39" s="491">
        <f>ROUNDUP(V7*0.88,0)</f>
        <v>291</v>
      </c>
      <c r="W39" s="495">
        <f>914+380</f>
        <v>1294</v>
      </c>
      <c r="X39" s="491">
        <f>ROUNDUP(X7*0.78,0)</f>
        <v>89</v>
      </c>
      <c r="Y39" s="601">
        <v>129</v>
      </c>
      <c r="Z39" s="495">
        <v>10</v>
      </c>
      <c r="AA39" s="601"/>
      <c r="AB39" s="357">
        <f t="shared" si="24"/>
        <v>19.004435682602267</v>
      </c>
      <c r="AC39" s="357">
        <f t="shared" si="25"/>
        <v>19.106413217267722</v>
      </c>
      <c r="BG39" s="116"/>
      <c r="BH39" s="116"/>
      <c r="DQ39" s="480"/>
      <c r="DR39" s="480"/>
    </row>
    <row r="40" spans="1:122" ht="15.75" customHeight="1" thickBot="1" x14ac:dyDescent="0.3">
      <c r="A40" s="750" t="s">
        <v>197</v>
      </c>
      <c r="B40" s="59" t="s">
        <v>198</v>
      </c>
      <c r="C40" s="599">
        <v>635</v>
      </c>
      <c r="D40" s="539">
        <v>53</v>
      </c>
      <c r="E40" s="354">
        <f t="shared" si="26"/>
        <v>688</v>
      </c>
      <c r="F40" s="355">
        <f>L40+N40+P40+R40+T40+V40+X40+Z40</f>
        <v>755</v>
      </c>
      <c r="G40" s="355">
        <f>M40+O40+Q40+S40+U40+W40+Y40+AA40</f>
        <v>0</v>
      </c>
      <c r="H40" s="359">
        <f>SUM(F40:G40)</f>
        <v>755</v>
      </c>
      <c r="I40" s="356">
        <f t="shared" si="28"/>
        <v>1.188976377952756</v>
      </c>
      <c r="J40" s="356">
        <f t="shared" si="28"/>
        <v>0</v>
      </c>
      <c r="K40" s="356">
        <f t="shared" si="23"/>
        <v>1.0973837209302326</v>
      </c>
      <c r="L40" s="490">
        <f>ROUNDUP(L8*0.58,0)</f>
        <v>464</v>
      </c>
      <c r="M40" s="601"/>
      <c r="N40" s="491">
        <f>ROUNDUP(N8*0.18,0)</f>
        <v>6</v>
      </c>
      <c r="O40" s="492"/>
      <c r="P40" s="491">
        <f>ROUNDUP(P8*0.56,0)</f>
        <v>48</v>
      </c>
      <c r="Q40" s="494"/>
      <c r="R40" s="491">
        <f>ROUNDUP(R8*0.83,0)</f>
        <v>88</v>
      </c>
      <c r="S40" s="492"/>
      <c r="T40" s="491">
        <f>ROUNDUP(T8*0.99,0)</f>
        <v>128</v>
      </c>
      <c r="U40" s="497"/>
      <c r="V40" s="491">
        <f>ROUNDUP(V8*0.95,0)</f>
        <v>4</v>
      </c>
      <c r="W40" s="495"/>
      <c r="X40" s="491"/>
      <c r="Y40" s="495"/>
      <c r="Z40" s="491">
        <f>ROUNDUP(Z8*0.86,0)</f>
        <v>17</v>
      </c>
      <c r="AA40" s="492"/>
      <c r="AB40" s="357">
        <f t="shared" si="24"/>
        <v>6.7816658452439631</v>
      </c>
      <c r="AC40" s="357">
        <f t="shared" si="25"/>
        <v>6.706342156688577</v>
      </c>
      <c r="BG40" s="116"/>
      <c r="BH40" s="116"/>
      <c r="DQ40" s="480"/>
      <c r="DR40" s="480"/>
    </row>
    <row r="41" spans="1:122" ht="34.5" customHeight="1" thickBot="1" x14ac:dyDescent="0.3">
      <c r="A41" s="751"/>
      <c r="B41" s="60" t="s">
        <v>199</v>
      </c>
      <c r="C41" s="599"/>
      <c r="D41" s="539">
        <v>0</v>
      </c>
      <c r="E41" s="354">
        <f>SUM(C41:D41)</f>
        <v>0</v>
      </c>
      <c r="F41" s="355">
        <f>L41+N41+P41+R41+T41+V41+X41+Z41</f>
        <v>437</v>
      </c>
      <c r="G41" s="355">
        <f>M41+O41+Q41+S41+U41+W41+Y41+AA41</f>
        <v>0</v>
      </c>
      <c r="H41" s="359">
        <f>SUM(F41:G41)</f>
        <v>437</v>
      </c>
      <c r="I41" s="356" t="e">
        <f t="shared" si="28"/>
        <v>#DIV/0!</v>
      </c>
      <c r="J41" s="356" t="e">
        <f t="shared" si="28"/>
        <v>#DIV/0!</v>
      </c>
      <c r="K41" s="356" t="e">
        <f t="shared" si="23"/>
        <v>#DIV/0!</v>
      </c>
      <c r="L41" s="490"/>
      <c r="M41" s="601"/>
      <c r="N41" s="491">
        <f>ROUNDUP((347+90)*0.6,0)</f>
        <v>263</v>
      </c>
      <c r="O41" s="492"/>
      <c r="P41" s="493">
        <f>ROUNDDOWN((347+90)*0.4,0)</f>
        <v>174</v>
      </c>
      <c r="Q41" s="494"/>
      <c r="R41" s="491"/>
      <c r="S41" s="492"/>
      <c r="T41" s="490"/>
      <c r="U41" s="497"/>
      <c r="V41" s="495"/>
      <c r="W41" s="495"/>
      <c r="X41" s="495"/>
      <c r="Y41" s="495"/>
      <c r="Z41" s="495"/>
      <c r="AA41" s="492"/>
      <c r="AB41" s="357">
        <f t="shared" si="24"/>
        <v>0</v>
      </c>
      <c r="AC41" s="357">
        <f t="shared" si="25"/>
        <v>3.8816841357257061</v>
      </c>
      <c r="BG41" s="116"/>
      <c r="BH41" s="116"/>
      <c r="DQ41" s="480"/>
      <c r="DR41" s="480"/>
    </row>
    <row r="42" spans="1:122" ht="30.75" customHeight="1" thickBot="1" x14ac:dyDescent="0.3">
      <c r="A42" s="767" t="s">
        <v>200</v>
      </c>
      <c r="B42" s="47" t="s">
        <v>201</v>
      </c>
      <c r="C42" s="606"/>
      <c r="D42" s="82">
        <v>0</v>
      </c>
      <c r="E42" s="354">
        <f t="shared" si="26"/>
        <v>0</v>
      </c>
      <c r="F42" s="355">
        <f t="shared" ref="F42:G46" si="29">L42+N42+P42+R42+T42+V42+X42+Z42</f>
        <v>0</v>
      </c>
      <c r="G42" s="355">
        <f t="shared" si="29"/>
        <v>0</v>
      </c>
      <c r="H42" s="359">
        <f>SUM(F42:G42)</f>
        <v>0</v>
      </c>
      <c r="I42" s="356" t="e">
        <f t="shared" si="28"/>
        <v>#DIV/0!</v>
      </c>
      <c r="J42" s="356" t="e">
        <f t="shared" si="28"/>
        <v>#DIV/0!</v>
      </c>
      <c r="K42" s="356" t="e">
        <f t="shared" si="23"/>
        <v>#DIV/0!</v>
      </c>
      <c r="L42" s="490"/>
      <c r="M42" s="601"/>
      <c r="N42" s="491"/>
      <c r="O42" s="492"/>
      <c r="P42" s="493"/>
      <c r="Q42" s="494"/>
      <c r="R42" s="491"/>
      <c r="S42" s="492"/>
      <c r="T42" s="490"/>
      <c r="U42" s="497"/>
      <c r="V42" s="495"/>
      <c r="W42" s="495"/>
      <c r="X42" s="495"/>
      <c r="Y42" s="495"/>
      <c r="Z42" s="495"/>
      <c r="AA42" s="492"/>
      <c r="AB42" s="357">
        <f t="shared" si="24"/>
        <v>0</v>
      </c>
      <c r="AC42" s="357">
        <f t="shared" si="25"/>
        <v>0</v>
      </c>
      <c r="BG42" s="116"/>
      <c r="BH42" s="116"/>
      <c r="DQ42" s="480"/>
      <c r="DR42" s="480"/>
    </row>
    <row r="43" spans="1:122" ht="30.75" thickBot="1" x14ac:dyDescent="0.3">
      <c r="A43" s="768"/>
      <c r="B43" s="48" t="s">
        <v>133</v>
      </c>
      <c r="C43" s="82"/>
      <c r="D43" s="82">
        <v>0</v>
      </c>
      <c r="E43" s="354">
        <f t="shared" si="26"/>
        <v>0</v>
      </c>
      <c r="F43" s="355">
        <f t="shared" si="29"/>
        <v>0</v>
      </c>
      <c r="G43" s="355">
        <f t="shared" si="29"/>
        <v>0</v>
      </c>
      <c r="H43" s="359">
        <f t="shared" si="27"/>
        <v>0</v>
      </c>
      <c r="I43" s="356" t="e">
        <f t="shared" si="28"/>
        <v>#DIV/0!</v>
      </c>
      <c r="J43" s="356" t="e">
        <f t="shared" si="23"/>
        <v>#DIV/0!</v>
      </c>
      <c r="K43" s="356" t="e">
        <f t="shared" si="23"/>
        <v>#DIV/0!</v>
      </c>
      <c r="L43" s="490"/>
      <c r="M43" s="601"/>
      <c r="N43" s="491"/>
      <c r="O43" s="492"/>
      <c r="P43" s="493"/>
      <c r="Q43" s="494"/>
      <c r="R43" s="491"/>
      <c r="S43" s="492"/>
      <c r="T43" s="490"/>
      <c r="U43" s="497"/>
      <c r="V43" s="495"/>
      <c r="W43" s="495"/>
      <c r="X43" s="495"/>
      <c r="Y43" s="495"/>
      <c r="Z43" s="495"/>
      <c r="AA43" s="492"/>
      <c r="AB43" s="357">
        <f t="shared" si="24"/>
        <v>0</v>
      </c>
      <c r="AC43" s="357">
        <f t="shared" si="25"/>
        <v>0</v>
      </c>
      <c r="BG43" s="116"/>
      <c r="BH43" s="116"/>
      <c r="DQ43" s="480"/>
      <c r="DR43" s="480"/>
    </row>
    <row r="44" spans="1:122" ht="15.75" thickBot="1" x14ac:dyDescent="0.3">
      <c r="A44" s="768"/>
      <c r="B44" s="49" t="s">
        <v>202</v>
      </c>
      <c r="C44" s="599">
        <v>376</v>
      </c>
      <c r="D44" s="539">
        <v>0</v>
      </c>
      <c r="E44" s="354">
        <f t="shared" si="26"/>
        <v>376</v>
      </c>
      <c r="F44" s="355">
        <f t="shared" si="29"/>
        <v>400</v>
      </c>
      <c r="G44" s="355">
        <f t="shared" si="29"/>
        <v>0</v>
      </c>
      <c r="H44" s="355">
        <f>SUM(F44:G44)</f>
        <v>400</v>
      </c>
      <c r="I44" s="356">
        <f t="shared" si="28"/>
        <v>1.0638297872340425</v>
      </c>
      <c r="J44" s="356" t="e">
        <f t="shared" si="23"/>
        <v>#DIV/0!</v>
      </c>
      <c r="K44" s="356">
        <f t="shared" si="23"/>
        <v>1.0638297872340425</v>
      </c>
      <c r="L44" s="490">
        <v>400</v>
      </c>
      <c r="M44" s="601"/>
      <c r="N44" s="491"/>
      <c r="O44" s="492"/>
      <c r="P44" s="493"/>
      <c r="Q44" s="494"/>
      <c r="R44" s="491"/>
      <c r="S44" s="492"/>
      <c r="T44" s="490"/>
      <c r="U44" s="497"/>
      <c r="V44" s="495"/>
      <c r="W44" s="495"/>
      <c r="X44" s="495"/>
      <c r="Y44" s="495"/>
      <c r="Z44" s="495"/>
      <c r="AA44" s="492"/>
      <c r="AB44" s="357">
        <f t="shared" si="24"/>
        <v>3.7062592410054211</v>
      </c>
      <c r="AC44" s="357">
        <f t="shared" si="25"/>
        <v>3.553028957186001</v>
      </c>
      <c r="BG44" s="116"/>
      <c r="BH44" s="116"/>
      <c r="DQ44" s="480"/>
      <c r="DR44" s="480"/>
    </row>
    <row r="45" spans="1:122" ht="15.75" thickBot="1" x14ac:dyDescent="0.3">
      <c r="A45" s="768"/>
      <c r="B45" s="50" t="s">
        <v>135</v>
      </c>
      <c r="C45" s="607"/>
      <c r="D45" s="88"/>
      <c r="E45" s="354">
        <f t="shared" si="26"/>
        <v>0</v>
      </c>
      <c r="F45" s="355">
        <f t="shared" si="29"/>
        <v>0</v>
      </c>
      <c r="G45" s="355">
        <f t="shared" si="29"/>
        <v>0</v>
      </c>
      <c r="H45" s="359">
        <f t="shared" si="27"/>
        <v>0</v>
      </c>
      <c r="I45" s="356" t="e">
        <f t="shared" si="28"/>
        <v>#DIV/0!</v>
      </c>
      <c r="J45" s="356" t="e">
        <f t="shared" si="23"/>
        <v>#DIV/0!</v>
      </c>
      <c r="K45" s="356" t="e">
        <f t="shared" si="23"/>
        <v>#DIV/0!</v>
      </c>
      <c r="L45" s="490"/>
      <c r="M45" s="601"/>
      <c r="N45" s="491"/>
      <c r="O45" s="492"/>
      <c r="P45" s="493"/>
      <c r="Q45" s="494"/>
      <c r="R45" s="491"/>
      <c r="S45" s="492"/>
      <c r="T45" s="490"/>
      <c r="U45" s="497"/>
      <c r="V45" s="495"/>
      <c r="W45" s="495"/>
      <c r="X45" s="495"/>
      <c r="Y45" s="495"/>
      <c r="Z45" s="495"/>
      <c r="AA45" s="492"/>
      <c r="AB45" s="357">
        <f t="shared" si="24"/>
        <v>0</v>
      </c>
      <c r="AC45" s="357">
        <f t="shared" si="25"/>
        <v>0</v>
      </c>
      <c r="BG45" s="116"/>
      <c r="BH45" s="116"/>
      <c r="DQ45" s="480"/>
      <c r="DR45" s="480"/>
    </row>
    <row r="46" spans="1:122" ht="15.75" thickBot="1" x14ac:dyDescent="0.3">
      <c r="A46" s="768"/>
      <c r="B46" s="50" t="s">
        <v>203</v>
      </c>
      <c r="C46" s="607">
        <v>199</v>
      </c>
      <c r="D46" s="88">
        <v>2</v>
      </c>
      <c r="E46" s="354">
        <f t="shared" si="26"/>
        <v>201</v>
      </c>
      <c r="F46" s="355">
        <f t="shared" si="29"/>
        <v>260</v>
      </c>
      <c r="G46" s="355">
        <f t="shared" si="29"/>
        <v>0</v>
      </c>
      <c r="H46" s="359">
        <f t="shared" si="27"/>
        <v>260</v>
      </c>
      <c r="I46" s="356">
        <f t="shared" si="28"/>
        <v>1.306532663316583</v>
      </c>
      <c r="J46" s="356">
        <f t="shared" si="23"/>
        <v>0</v>
      </c>
      <c r="K46" s="356">
        <f t="shared" si="23"/>
        <v>1.2935323383084578</v>
      </c>
      <c r="L46" s="491"/>
      <c r="M46" s="601"/>
      <c r="N46" s="491"/>
      <c r="O46" s="492"/>
      <c r="P46" s="491">
        <f>ROUNDUP(P14*0.93,0)</f>
        <v>110</v>
      </c>
      <c r="Q46" s="494"/>
      <c r="R46" s="491">
        <f>ROUNDUP(R14*0.98,0)</f>
        <v>70</v>
      </c>
      <c r="S46" s="492"/>
      <c r="T46" s="491">
        <f>ROUNDUP(T14*0.51,0)</f>
        <v>26</v>
      </c>
      <c r="U46" s="497"/>
      <c r="V46" s="491">
        <f>ROUNDUP(V14*0.91,0)</f>
        <v>46</v>
      </c>
      <c r="W46" s="495"/>
      <c r="X46" s="491">
        <f>ROUNDUP(X14*0.69,0)</f>
        <v>8</v>
      </c>
      <c r="Y46" s="495"/>
      <c r="Z46" s="491"/>
      <c r="AA46" s="492"/>
      <c r="AB46" s="357">
        <f t="shared" si="24"/>
        <v>1.9812715623459833</v>
      </c>
      <c r="AC46" s="357">
        <f t="shared" si="25"/>
        <v>2.3094688221709005</v>
      </c>
      <c r="BG46" s="116"/>
      <c r="BH46" s="116"/>
      <c r="DQ46" s="480"/>
      <c r="DR46" s="480"/>
    </row>
    <row r="47" spans="1:122" ht="15.75" customHeight="1" thickBot="1" x14ac:dyDescent="0.3">
      <c r="A47" s="754" t="s">
        <v>204</v>
      </c>
      <c r="B47" s="755"/>
      <c r="C47" s="599">
        <v>271</v>
      </c>
      <c r="D47" s="539">
        <v>0</v>
      </c>
      <c r="E47" s="354">
        <f t="shared" si="26"/>
        <v>271</v>
      </c>
      <c r="F47" s="355">
        <f>L47+N47+P47+R47</f>
        <v>257</v>
      </c>
      <c r="G47" s="355">
        <f>M47+O47+Q47+S47</f>
        <v>0</v>
      </c>
      <c r="H47" s="359">
        <f t="shared" si="27"/>
        <v>257</v>
      </c>
      <c r="I47" s="356">
        <f t="shared" si="28"/>
        <v>0.94833948339483398</v>
      </c>
      <c r="J47" s="356" t="e">
        <f t="shared" si="23"/>
        <v>#DIV/0!</v>
      </c>
      <c r="K47" s="356">
        <f t="shared" si="23"/>
        <v>0.94833948339483398</v>
      </c>
      <c r="L47" s="491">
        <f>ROUNDUP(L15*0.33,0)</f>
        <v>24</v>
      </c>
      <c r="M47" s="603"/>
      <c r="N47" s="491">
        <f>ROUNDUP(N15*0.5,0)</f>
        <v>9</v>
      </c>
      <c r="O47" s="605"/>
      <c r="P47" s="491">
        <f>ROUNDUP(P15*1,0)</f>
        <v>18</v>
      </c>
      <c r="Q47" s="605"/>
      <c r="R47" s="491">
        <f>ROUNDUP(R15*0.98,0)</f>
        <v>206</v>
      </c>
      <c r="S47" s="605"/>
      <c r="T47" s="55"/>
      <c r="U47" s="56"/>
      <c r="V47" s="55"/>
      <c r="W47" s="56"/>
      <c r="X47" s="55"/>
      <c r="Y47" s="57"/>
      <c r="Z47" s="55"/>
      <c r="AA47" s="58"/>
      <c r="AB47" s="357">
        <f t="shared" si="24"/>
        <v>2.6712666338097586</v>
      </c>
      <c r="AC47" s="357">
        <f t="shared" si="25"/>
        <v>2.2828211049920055</v>
      </c>
      <c r="BG47" s="116"/>
      <c r="BH47" s="116"/>
      <c r="DQ47" s="480"/>
      <c r="DR47" s="480"/>
    </row>
    <row r="48" spans="1:122" s="488" customFormat="1" ht="15.75" thickBot="1" x14ac:dyDescent="0.3">
      <c r="A48" s="756" t="s">
        <v>205</v>
      </c>
      <c r="B48" s="59" t="s">
        <v>206</v>
      </c>
      <c r="C48" s="82">
        <v>38</v>
      </c>
      <c r="D48" s="82">
        <v>18</v>
      </c>
      <c r="E48" s="354">
        <f t="shared" si="26"/>
        <v>56</v>
      </c>
      <c r="F48" s="355">
        <f t="shared" ref="F48:G49" si="30">L48+N48+P48+R48+T48+V48+X48+Z48</f>
        <v>77</v>
      </c>
      <c r="G48" s="355">
        <f t="shared" si="30"/>
        <v>0</v>
      </c>
      <c r="H48" s="355">
        <f>SUM(F48:G48)</f>
        <v>77</v>
      </c>
      <c r="I48" s="356">
        <f t="shared" si="28"/>
        <v>2.0263157894736841</v>
      </c>
      <c r="J48" s="356">
        <f t="shared" si="23"/>
        <v>0</v>
      </c>
      <c r="K48" s="356">
        <f t="shared" si="23"/>
        <v>1.375</v>
      </c>
      <c r="L48" s="491"/>
      <c r="M48" s="495"/>
      <c r="N48" s="491">
        <v>77</v>
      </c>
      <c r="O48" s="495"/>
      <c r="P48" s="491"/>
      <c r="Q48" s="494"/>
      <c r="R48" s="491"/>
      <c r="S48" s="492"/>
      <c r="T48" s="491"/>
      <c r="U48" s="495"/>
      <c r="V48" s="491"/>
      <c r="W48" s="495"/>
      <c r="X48" s="491"/>
      <c r="Y48" s="494"/>
      <c r="Z48" s="491"/>
      <c r="AA48" s="492"/>
      <c r="AB48" s="357">
        <f t="shared" si="24"/>
        <v>0.55199605717102018</v>
      </c>
      <c r="AC48" s="358">
        <f t="shared" si="25"/>
        <v>0.68395807425830524</v>
      </c>
      <c r="AD48" s="116"/>
      <c r="AE48" s="487"/>
      <c r="AF48" s="487"/>
      <c r="AG48" s="487"/>
      <c r="AH48" s="487"/>
      <c r="AI48" s="487"/>
      <c r="AJ48" s="487"/>
      <c r="AK48" s="487"/>
      <c r="AL48" s="487"/>
      <c r="AM48" s="487"/>
      <c r="AN48" s="487"/>
      <c r="AO48" s="487"/>
      <c r="AP48" s="487"/>
      <c r="AQ48" s="487"/>
      <c r="AR48" s="487"/>
      <c r="AS48" s="487"/>
      <c r="AT48" s="487"/>
      <c r="AU48" s="487"/>
      <c r="AV48" s="487"/>
      <c r="AW48" s="487"/>
      <c r="AX48" s="487"/>
      <c r="AY48" s="487"/>
      <c r="AZ48" s="487"/>
      <c r="BA48" s="487"/>
      <c r="BB48" s="487"/>
      <c r="BC48" s="487"/>
      <c r="BD48" s="487"/>
      <c r="BE48" s="487"/>
      <c r="BF48" s="487"/>
      <c r="BG48" s="487"/>
      <c r="BH48" s="487"/>
      <c r="BI48" s="487"/>
      <c r="BJ48" s="487"/>
      <c r="BK48" s="487"/>
      <c r="BL48" s="487"/>
      <c r="BM48" s="487"/>
      <c r="BN48" s="487"/>
      <c r="BO48" s="487"/>
      <c r="BP48" s="487"/>
      <c r="BQ48" s="487"/>
      <c r="BR48" s="487"/>
      <c r="BS48" s="487"/>
      <c r="BT48" s="487"/>
      <c r="BU48" s="487"/>
      <c r="BV48" s="487"/>
      <c r="BW48" s="487"/>
      <c r="BX48" s="487"/>
      <c r="BY48" s="487"/>
      <c r="BZ48" s="487"/>
    </row>
    <row r="49" spans="1:122" s="488" customFormat="1" ht="15.75" thickBot="1" x14ac:dyDescent="0.3">
      <c r="A49" s="753"/>
      <c r="B49" s="59" t="s">
        <v>140</v>
      </c>
      <c r="C49" s="82"/>
      <c r="D49" s="82"/>
      <c r="E49" s="354">
        <f t="shared" si="26"/>
        <v>0</v>
      </c>
      <c r="F49" s="355">
        <f t="shared" si="30"/>
        <v>45</v>
      </c>
      <c r="G49" s="355">
        <f t="shared" si="30"/>
        <v>0</v>
      </c>
      <c r="H49" s="359">
        <f t="shared" si="27"/>
        <v>45</v>
      </c>
      <c r="I49" s="356" t="e">
        <f t="shared" si="28"/>
        <v>#DIV/0!</v>
      </c>
      <c r="J49" s="356" t="e">
        <f t="shared" si="23"/>
        <v>#DIV/0!</v>
      </c>
      <c r="K49" s="356" t="e">
        <f t="shared" si="23"/>
        <v>#DIV/0!</v>
      </c>
      <c r="L49" s="491"/>
      <c r="M49" s="495"/>
      <c r="N49" s="491"/>
      <c r="O49" s="495"/>
      <c r="P49" s="491">
        <v>45</v>
      </c>
      <c r="Q49" s="494"/>
      <c r="R49" s="491"/>
      <c r="S49" s="492"/>
      <c r="T49" s="491"/>
      <c r="U49" s="495"/>
      <c r="V49" s="491"/>
      <c r="W49" s="495"/>
      <c r="X49" s="491"/>
      <c r="Y49" s="494"/>
      <c r="Z49" s="491"/>
      <c r="AA49" s="492"/>
      <c r="AB49" s="357">
        <f t="shared" si="24"/>
        <v>0</v>
      </c>
      <c r="AC49" s="358">
        <f t="shared" si="25"/>
        <v>0.3997157576834251</v>
      </c>
      <c r="AD49" s="116"/>
      <c r="AE49" s="487"/>
      <c r="AF49" s="487"/>
      <c r="AG49" s="487"/>
      <c r="AH49" s="487"/>
      <c r="AI49" s="487"/>
      <c r="AJ49" s="487"/>
      <c r="AK49" s="487"/>
      <c r="AL49" s="487"/>
      <c r="AM49" s="487"/>
      <c r="AN49" s="487"/>
      <c r="AO49" s="487"/>
      <c r="AP49" s="487"/>
      <c r="AQ49" s="487"/>
      <c r="AR49" s="487"/>
      <c r="AS49" s="487"/>
      <c r="AT49" s="487"/>
      <c r="AU49" s="487"/>
      <c r="AV49" s="487"/>
      <c r="AW49" s="487"/>
      <c r="AX49" s="487"/>
      <c r="AY49" s="487"/>
      <c r="AZ49" s="487"/>
      <c r="BA49" s="487"/>
      <c r="BB49" s="487"/>
      <c r="BC49" s="487"/>
      <c r="BD49" s="487"/>
      <c r="BE49" s="487"/>
      <c r="BF49" s="487"/>
      <c r="BG49" s="487"/>
      <c r="BH49" s="487"/>
      <c r="BI49" s="487"/>
      <c r="BJ49" s="487"/>
      <c r="BK49" s="487"/>
      <c r="BL49" s="487"/>
      <c r="BM49" s="487"/>
      <c r="BN49" s="487"/>
      <c r="BO49" s="487"/>
      <c r="BP49" s="487"/>
      <c r="BQ49" s="487"/>
      <c r="BR49" s="487"/>
      <c r="BS49" s="487"/>
      <c r="BT49" s="487"/>
      <c r="BU49" s="487"/>
      <c r="BV49" s="487"/>
      <c r="BW49" s="487"/>
      <c r="BX49" s="487"/>
      <c r="BY49" s="487"/>
      <c r="BZ49" s="487"/>
    </row>
    <row r="50" spans="1:122" s="488" customFormat="1" ht="15.75" thickBot="1" x14ac:dyDescent="0.3">
      <c r="A50" s="753"/>
      <c r="B50" s="50" t="s">
        <v>141</v>
      </c>
      <c r="C50" s="607">
        <v>494</v>
      </c>
      <c r="D50" s="88"/>
      <c r="E50" s="354">
        <f>SUM(C50:D50)</f>
        <v>494</v>
      </c>
      <c r="F50" s="355">
        <f>L50+N50+P50+R50+T50+V50+X50+Z50</f>
        <v>0</v>
      </c>
      <c r="G50" s="355">
        <f>M50+O50+Q50+S50+U50+W50+Y50+AA50</f>
        <v>0</v>
      </c>
      <c r="H50" s="359">
        <f>SUM(F50:G50)</f>
        <v>0</v>
      </c>
      <c r="I50" s="356">
        <f>F50/C50</f>
        <v>0</v>
      </c>
      <c r="J50" s="356" t="e">
        <f>G50/D50</f>
        <v>#DIV/0!</v>
      </c>
      <c r="K50" s="356">
        <f>H50/E50</f>
        <v>0</v>
      </c>
      <c r="L50" s="490"/>
      <c r="M50" s="601"/>
      <c r="N50" s="491"/>
      <c r="O50" s="492"/>
      <c r="P50" s="493"/>
      <c r="Q50" s="494"/>
      <c r="R50" s="491"/>
      <c r="S50" s="492"/>
      <c r="T50" s="490"/>
      <c r="U50" s="497"/>
      <c r="V50" s="495"/>
      <c r="W50" s="495"/>
      <c r="X50" s="495"/>
      <c r="Y50" s="495"/>
      <c r="Z50" s="495"/>
      <c r="AA50" s="492"/>
      <c r="AB50" s="357">
        <f t="shared" si="24"/>
        <v>4.8693937900443567</v>
      </c>
      <c r="AC50" s="357">
        <f t="shared" si="25"/>
        <v>0</v>
      </c>
      <c r="AD50" s="116"/>
      <c r="AE50" s="487"/>
      <c r="AF50" s="487"/>
      <c r="AG50" s="487"/>
      <c r="AH50" s="487"/>
      <c r="AI50" s="487"/>
      <c r="AJ50" s="487"/>
      <c r="AK50" s="487"/>
      <c r="AL50" s="487"/>
      <c r="AM50" s="487"/>
      <c r="AN50" s="487"/>
      <c r="AO50" s="487"/>
      <c r="AP50" s="487"/>
      <c r="AQ50" s="487"/>
      <c r="AR50" s="487"/>
      <c r="AS50" s="487"/>
      <c r="AT50" s="487"/>
      <c r="AU50" s="487"/>
      <c r="AV50" s="487"/>
      <c r="AW50" s="487"/>
      <c r="AX50" s="487"/>
      <c r="AY50" s="487"/>
      <c r="AZ50" s="487"/>
      <c r="BA50" s="487"/>
      <c r="BB50" s="487"/>
      <c r="BC50" s="487"/>
      <c r="BD50" s="487"/>
      <c r="BE50" s="487"/>
      <c r="BF50" s="487"/>
      <c r="BG50" s="487"/>
      <c r="BH50" s="487"/>
      <c r="BI50" s="487"/>
      <c r="BJ50" s="487"/>
      <c r="BK50" s="487"/>
      <c r="BL50" s="487"/>
      <c r="BM50" s="487"/>
      <c r="BN50" s="487"/>
      <c r="BO50" s="487"/>
      <c r="BP50" s="487"/>
      <c r="BQ50" s="487"/>
      <c r="BR50" s="487"/>
      <c r="BS50" s="487"/>
      <c r="BT50" s="487"/>
      <c r="BU50" s="487"/>
      <c r="BV50" s="487"/>
      <c r="BW50" s="487"/>
      <c r="BX50" s="487"/>
      <c r="BY50" s="487"/>
      <c r="BZ50" s="487"/>
    </row>
    <row r="51" spans="1:122" s="488" customFormat="1" ht="33" customHeight="1" thickBot="1" x14ac:dyDescent="0.3">
      <c r="A51" s="753"/>
      <c r="B51" s="60" t="s">
        <v>142</v>
      </c>
      <c r="C51" s="82"/>
      <c r="D51" s="82"/>
      <c r="E51" s="354">
        <f t="shared" ref="E51" si="31">SUM(C51:D51)</f>
        <v>0</v>
      </c>
      <c r="F51" s="355">
        <f t="shared" ref="F51:G51" si="32">L51+N51+P51+R51+T51+V51+X51+Z51</f>
        <v>605</v>
      </c>
      <c r="G51" s="355">
        <f t="shared" si="32"/>
        <v>0</v>
      </c>
      <c r="H51" s="359">
        <f t="shared" ref="H51" si="33">SUM(F51:G51)</f>
        <v>605</v>
      </c>
      <c r="I51" s="356" t="e">
        <f t="shared" ref="I51:K51" si="34">F51/C51</f>
        <v>#DIV/0!</v>
      </c>
      <c r="J51" s="356" t="e">
        <f t="shared" si="34"/>
        <v>#DIV/0!</v>
      </c>
      <c r="K51" s="356" t="e">
        <f t="shared" si="34"/>
        <v>#DIV/0!</v>
      </c>
      <c r="L51" s="491">
        <v>35</v>
      </c>
      <c r="M51" s="495"/>
      <c r="N51" s="491"/>
      <c r="O51" s="495"/>
      <c r="P51" s="491">
        <v>345</v>
      </c>
      <c r="Q51" s="494"/>
      <c r="R51" s="491">
        <v>165</v>
      </c>
      <c r="S51" s="492"/>
      <c r="T51" s="491">
        <v>20</v>
      </c>
      <c r="U51" s="495"/>
      <c r="V51" s="491">
        <v>20</v>
      </c>
      <c r="W51" s="495"/>
      <c r="X51" s="491">
        <v>20</v>
      </c>
      <c r="Y51" s="494"/>
      <c r="Z51" s="491"/>
      <c r="AA51" s="492"/>
      <c r="AB51" s="357">
        <f t="shared" si="24"/>
        <v>0</v>
      </c>
      <c r="AC51" s="358">
        <f t="shared" si="25"/>
        <v>5.3739562977438267</v>
      </c>
      <c r="AD51" s="116"/>
      <c r="AE51" s="487"/>
      <c r="AF51" s="487"/>
      <c r="AG51" s="487"/>
      <c r="AH51" s="487"/>
      <c r="AI51" s="487"/>
      <c r="AJ51" s="487"/>
      <c r="AK51" s="487"/>
      <c r="AL51" s="487"/>
      <c r="AM51" s="487"/>
      <c r="AN51" s="487"/>
      <c r="AO51" s="487"/>
      <c r="AP51" s="487"/>
      <c r="AQ51" s="487"/>
      <c r="AR51" s="487"/>
      <c r="AS51" s="487"/>
      <c r="AT51" s="487"/>
      <c r="AU51" s="487"/>
      <c r="AV51" s="487"/>
      <c r="AW51" s="487"/>
      <c r="AX51" s="487"/>
      <c r="AY51" s="487"/>
      <c r="AZ51" s="487"/>
      <c r="BA51" s="487"/>
      <c r="BB51" s="487"/>
      <c r="BC51" s="487"/>
      <c r="BD51" s="487"/>
      <c r="BE51" s="487"/>
      <c r="BF51" s="487"/>
      <c r="BG51" s="487"/>
      <c r="BH51" s="487"/>
      <c r="BI51" s="487"/>
      <c r="BJ51" s="487"/>
      <c r="BK51" s="487"/>
      <c r="BL51" s="487"/>
      <c r="BM51" s="487"/>
      <c r="BN51" s="487"/>
      <c r="BO51" s="487"/>
      <c r="BP51" s="487"/>
      <c r="BQ51" s="487"/>
      <c r="BR51" s="487"/>
      <c r="BS51" s="487"/>
      <c r="BT51" s="487"/>
      <c r="BU51" s="487"/>
      <c r="BV51" s="487"/>
      <c r="BW51" s="487"/>
      <c r="BX51" s="487"/>
      <c r="BY51" s="487"/>
      <c r="BZ51" s="487"/>
    </row>
    <row r="52" spans="1:122" s="480" customFormat="1" ht="16.5" thickTop="1" thickBot="1" x14ac:dyDescent="0.3">
      <c r="A52" s="769" t="s">
        <v>207</v>
      </c>
      <c r="B52" s="770"/>
      <c r="C52" s="542">
        <f>4853-1098</f>
        <v>3755</v>
      </c>
      <c r="D52" s="542">
        <f>2642+42+374</f>
        <v>3058</v>
      </c>
      <c r="E52" s="360">
        <f>SUM(C52:D52)</f>
        <v>6813</v>
      </c>
      <c r="F52" s="361">
        <f>L52+N52+P52+R52</f>
        <v>4564</v>
      </c>
      <c r="G52" s="361">
        <f>M52+O52+Q52+S52</f>
        <v>2791</v>
      </c>
      <c r="H52" s="362">
        <f>SUM(F52:G52)</f>
        <v>7355</v>
      </c>
      <c r="I52" s="363">
        <f t="shared" si="28"/>
        <v>1.2154460719041278</v>
      </c>
      <c r="J52" s="363">
        <f t="shared" si="23"/>
        <v>0.91268803139306731</v>
      </c>
      <c r="K52" s="363">
        <f t="shared" si="23"/>
        <v>1.0795537942169382</v>
      </c>
      <c r="L52" s="364">
        <f>SUM(L38:L51)</f>
        <v>1469</v>
      </c>
      <c r="M52" s="364">
        <f t="shared" ref="M52:S52" si="35">SUM(M38:M51)</f>
        <v>87</v>
      </c>
      <c r="N52" s="364">
        <f t="shared" si="35"/>
        <v>513</v>
      </c>
      <c r="O52" s="364">
        <f t="shared" si="35"/>
        <v>125</v>
      </c>
      <c r="P52" s="364">
        <f t="shared" si="35"/>
        <v>1280</v>
      </c>
      <c r="Q52" s="364">
        <f>SUM(Q38:Q51)</f>
        <v>543</v>
      </c>
      <c r="R52" s="364">
        <f t="shared" si="35"/>
        <v>1302</v>
      </c>
      <c r="S52" s="364">
        <f t="shared" si="35"/>
        <v>2036</v>
      </c>
      <c r="T52" s="61"/>
      <c r="U52" s="62"/>
      <c r="V52" s="61"/>
      <c r="W52" s="62"/>
      <c r="X52" s="61"/>
      <c r="Y52" s="63"/>
      <c r="Z52" s="61"/>
      <c r="AA52" s="64"/>
      <c r="AB52" s="365">
        <f t="shared" si="24"/>
        <v>67.156234598324289</v>
      </c>
      <c r="AC52" s="366">
        <f t="shared" si="25"/>
        <v>65.331319950257594</v>
      </c>
      <c r="AD52" s="116"/>
    </row>
    <row r="53" spans="1:122" ht="15.75" thickBot="1" x14ac:dyDescent="0.3">
      <c r="A53" s="784" t="s">
        <v>208</v>
      </c>
      <c r="B53" s="967"/>
      <c r="C53" s="542">
        <v>932</v>
      </c>
      <c r="D53" s="542">
        <v>1260</v>
      </c>
      <c r="E53" s="373">
        <f>SUM(C53:D53)</f>
        <v>2192</v>
      </c>
      <c r="F53" s="355">
        <f>T53+V53+X53+Z53</f>
        <v>953</v>
      </c>
      <c r="G53" s="355">
        <f>U53+W53+Y53+AA53</f>
        <v>1487</v>
      </c>
      <c r="H53" s="355">
        <f>SUM(F53:G53)</f>
        <v>2440</v>
      </c>
      <c r="I53" s="356">
        <f t="shared" si="28"/>
        <v>1.0225321888412018</v>
      </c>
      <c r="J53" s="356">
        <f t="shared" si="23"/>
        <v>1.1801587301587302</v>
      </c>
      <c r="K53" s="356">
        <f t="shared" si="23"/>
        <v>1.1131386861313868</v>
      </c>
      <c r="L53" s="42"/>
      <c r="M53" s="43"/>
      <c r="N53" s="44"/>
      <c r="O53" s="43"/>
      <c r="P53" s="44"/>
      <c r="Q53" s="43"/>
      <c r="R53" s="44"/>
      <c r="S53" s="43"/>
      <c r="T53" s="367">
        <f>SUM(T38:T52)</f>
        <v>448</v>
      </c>
      <c r="U53" s="367">
        <f t="shared" ref="U53:AA53" si="36">SUM(U38:U52)</f>
        <v>64</v>
      </c>
      <c r="V53" s="367">
        <f t="shared" si="36"/>
        <v>361</v>
      </c>
      <c r="W53" s="367">
        <f t="shared" si="36"/>
        <v>1294</v>
      </c>
      <c r="X53" s="367">
        <f t="shared" si="36"/>
        <v>117</v>
      </c>
      <c r="Y53" s="367">
        <f t="shared" si="36"/>
        <v>129</v>
      </c>
      <c r="Z53" s="367">
        <f t="shared" si="36"/>
        <v>27</v>
      </c>
      <c r="AA53" s="367">
        <f t="shared" si="36"/>
        <v>0</v>
      </c>
      <c r="AB53" s="357">
        <f t="shared" si="24"/>
        <v>21.606702809265649</v>
      </c>
      <c r="AC53" s="357">
        <f t="shared" si="25"/>
        <v>21.673476638834607</v>
      </c>
      <c r="BG53" s="116"/>
      <c r="BH53" s="116"/>
      <c r="DQ53" s="480"/>
      <c r="DR53" s="480"/>
    </row>
    <row r="54" spans="1:122" ht="15.75" customHeight="1" thickBot="1" x14ac:dyDescent="0.3">
      <c r="A54" s="968" t="s">
        <v>209</v>
      </c>
      <c r="B54" s="65" t="s">
        <v>210</v>
      </c>
      <c r="C54" s="66"/>
      <c r="D54" s="66"/>
      <c r="E54" s="66"/>
      <c r="F54" s="67"/>
      <c r="G54" s="68"/>
      <c r="H54" s="69"/>
      <c r="I54" s="383"/>
      <c r="J54" s="384"/>
      <c r="K54" s="385"/>
      <c r="L54" s="70"/>
      <c r="M54" s="71"/>
      <c r="N54" s="72"/>
      <c r="O54" s="73"/>
      <c r="P54" s="72"/>
      <c r="Q54" s="73"/>
      <c r="R54" s="72"/>
      <c r="S54" s="73"/>
      <c r="T54" s="72"/>
      <c r="U54" s="73"/>
      <c r="V54" s="72"/>
      <c r="W54" s="73"/>
      <c r="X54" s="72"/>
      <c r="Y54" s="74"/>
      <c r="Z54" s="72"/>
      <c r="AA54" s="75"/>
      <c r="AB54" s="369"/>
      <c r="AC54" s="369"/>
      <c r="BG54" s="116"/>
      <c r="BH54" s="116"/>
      <c r="DQ54" s="480"/>
      <c r="DR54" s="480"/>
    </row>
    <row r="55" spans="1:122" ht="15.75" thickBot="1" x14ac:dyDescent="0.3">
      <c r="A55" s="969"/>
      <c r="B55" s="76" t="s">
        <v>211</v>
      </c>
      <c r="C55" s="543"/>
      <c r="D55" s="543">
        <v>159</v>
      </c>
      <c r="E55" s="370">
        <f>SUM(C55:D55)</f>
        <v>159</v>
      </c>
      <c r="F55" s="355">
        <f>L55+N55+P55+R55</f>
        <v>0</v>
      </c>
      <c r="G55" s="355">
        <f>M55+O55+Q55+S55</f>
        <v>32</v>
      </c>
      <c r="H55" s="359">
        <f>SUM(F55:G55)</f>
        <v>32</v>
      </c>
      <c r="I55" s="356" t="e">
        <f t="shared" ref="I55:K55" si="37">F55/C55</f>
        <v>#DIV/0!</v>
      </c>
      <c r="J55" s="356">
        <f t="shared" si="37"/>
        <v>0.20125786163522014</v>
      </c>
      <c r="K55" s="356">
        <f t="shared" si="37"/>
        <v>0.20125786163522014</v>
      </c>
      <c r="L55" s="490"/>
      <c r="M55" s="497"/>
      <c r="N55" s="491"/>
      <c r="O55" s="495"/>
      <c r="P55" s="491"/>
      <c r="Q55" s="495">
        <v>32</v>
      </c>
      <c r="R55" s="491"/>
      <c r="S55" s="495"/>
      <c r="T55" s="77"/>
      <c r="U55" s="78"/>
      <c r="V55" s="77"/>
      <c r="W55" s="78"/>
      <c r="X55" s="77"/>
      <c r="Y55" s="79"/>
      <c r="Z55" s="77"/>
      <c r="AA55" s="80"/>
      <c r="AB55" s="357">
        <f>E55/$E$61*100</f>
        <v>1.5672745194677182</v>
      </c>
      <c r="AC55" s="357">
        <f>H55/$H$61*100</f>
        <v>0.28424231657488008</v>
      </c>
      <c r="BG55" s="116"/>
      <c r="BH55" s="116"/>
      <c r="DQ55" s="480"/>
      <c r="DR55" s="480"/>
    </row>
    <row r="56" spans="1:122" ht="29.25" customHeight="1" thickBot="1" x14ac:dyDescent="0.3">
      <c r="A56" s="969"/>
      <c r="B56" s="81" t="s">
        <v>212</v>
      </c>
      <c r="C56" s="82" t="s">
        <v>263</v>
      </c>
      <c r="D56" s="82" t="s">
        <v>263</v>
      </c>
      <c r="E56" s="82" t="s">
        <v>263</v>
      </c>
      <c r="F56" s="355">
        <f>L56+N56+P56</f>
        <v>0</v>
      </c>
      <c r="G56" s="355">
        <f>M56+O56+Q56</f>
        <v>100</v>
      </c>
      <c r="H56" s="359">
        <f t="shared" ref="H56:H57" si="38">SUM(F56:G56)</f>
        <v>100</v>
      </c>
      <c r="I56" s="371" t="s">
        <v>263</v>
      </c>
      <c r="J56" s="371" t="s">
        <v>263</v>
      </c>
      <c r="K56" s="371" t="s">
        <v>263</v>
      </c>
      <c r="L56" s="498"/>
      <c r="M56" s="499"/>
      <c r="N56" s="500"/>
      <c r="O56" s="491">
        <v>100</v>
      </c>
      <c r="P56" s="491"/>
      <c r="Q56" s="492"/>
      <c r="R56" s="77"/>
      <c r="S56" s="78"/>
      <c r="T56" s="77"/>
      <c r="U56" s="78"/>
      <c r="V56" s="77"/>
      <c r="W56" s="78"/>
      <c r="X56" s="77"/>
      <c r="Y56" s="79"/>
      <c r="Z56" s="77"/>
      <c r="AA56" s="80"/>
      <c r="AB56" s="357" t="s">
        <v>263</v>
      </c>
      <c r="AC56" s="357">
        <f>H56/$H$61*100</f>
        <v>0.88825723929650025</v>
      </c>
      <c r="BG56" s="116"/>
      <c r="BH56" s="116"/>
      <c r="DQ56" s="480"/>
      <c r="DR56" s="480"/>
    </row>
    <row r="57" spans="1:122" ht="15.75" thickBot="1" x14ac:dyDescent="0.3">
      <c r="A57" s="969"/>
      <c r="B57" s="87" t="s">
        <v>213</v>
      </c>
      <c r="C57" s="88" t="s">
        <v>263</v>
      </c>
      <c r="D57" s="88" t="s">
        <v>263</v>
      </c>
      <c r="E57" s="88" t="s">
        <v>263</v>
      </c>
      <c r="F57" s="355">
        <f>P57</f>
        <v>0</v>
      </c>
      <c r="G57" s="355">
        <f>Q57</f>
        <v>134</v>
      </c>
      <c r="H57" s="359">
        <f t="shared" si="38"/>
        <v>134</v>
      </c>
      <c r="I57" s="371" t="s">
        <v>263</v>
      </c>
      <c r="J57" s="371" t="s">
        <v>263</v>
      </c>
      <c r="K57" s="371" t="s">
        <v>263</v>
      </c>
      <c r="L57" s="77"/>
      <c r="M57" s="78"/>
      <c r="N57" s="77"/>
      <c r="O57" s="78"/>
      <c r="P57" s="500"/>
      <c r="Q57" s="495">
        <v>134</v>
      </c>
      <c r="R57" s="77"/>
      <c r="S57" s="78"/>
      <c r="T57" s="77"/>
      <c r="U57" s="78"/>
      <c r="V57" s="77"/>
      <c r="W57" s="78"/>
      <c r="X57" s="77"/>
      <c r="Y57" s="79"/>
      <c r="Z57" s="77"/>
      <c r="AA57" s="80"/>
      <c r="AB57" s="357" t="s">
        <v>263</v>
      </c>
      <c r="AC57" s="357">
        <f>H57/$H$61*100</f>
        <v>1.1902647006573104</v>
      </c>
      <c r="BG57" s="116"/>
      <c r="BH57" s="116"/>
      <c r="DQ57" s="480"/>
      <c r="DR57" s="480"/>
    </row>
    <row r="58" spans="1:122" ht="15.75" thickBot="1" x14ac:dyDescent="0.3">
      <c r="A58" s="969"/>
      <c r="B58" s="65" t="s">
        <v>214</v>
      </c>
      <c r="C58" s="386"/>
      <c r="D58" s="386"/>
      <c r="E58" s="386"/>
      <c r="F58" s="69"/>
      <c r="G58" s="69"/>
      <c r="H58" s="69"/>
      <c r="I58" s="67"/>
      <c r="J58" s="68"/>
      <c r="K58" s="368"/>
      <c r="L58" s="70"/>
      <c r="M58" s="71"/>
      <c r="N58" s="72"/>
      <c r="O58" s="73"/>
      <c r="P58" s="72"/>
      <c r="Q58" s="73"/>
      <c r="R58" s="72"/>
      <c r="S58" s="73"/>
      <c r="T58" s="72"/>
      <c r="U58" s="73"/>
      <c r="V58" s="72"/>
      <c r="W58" s="73"/>
      <c r="X58" s="72"/>
      <c r="Y58" s="74"/>
      <c r="Z58" s="72"/>
      <c r="AA58" s="75"/>
      <c r="AB58" s="372"/>
      <c r="AC58" s="372"/>
      <c r="BG58" s="116"/>
      <c r="BH58" s="116"/>
      <c r="DQ58" s="480"/>
      <c r="DR58" s="480"/>
    </row>
    <row r="59" spans="1:122" ht="15.75" thickBot="1" x14ac:dyDescent="0.3">
      <c r="A59" s="970"/>
      <c r="B59" s="90" t="s">
        <v>215</v>
      </c>
      <c r="C59" s="88">
        <v>397</v>
      </c>
      <c r="D59" s="88">
        <v>403</v>
      </c>
      <c r="E59" s="373">
        <f>SUM(C59:D59)</f>
        <v>800</v>
      </c>
      <c r="F59" s="355">
        <f>P59+R59</f>
        <v>410</v>
      </c>
      <c r="G59" s="355">
        <f>Q59+S59</f>
        <v>558</v>
      </c>
      <c r="H59" s="359">
        <f>SUM(F59:G59)</f>
        <v>968</v>
      </c>
      <c r="I59" s="356">
        <f t="shared" ref="I59:K61" si="39">F59/C59</f>
        <v>1.0327455919395465</v>
      </c>
      <c r="J59" s="356">
        <f t="shared" si="39"/>
        <v>1.3846153846153846</v>
      </c>
      <c r="K59" s="356">
        <f t="shared" si="39"/>
        <v>1.21</v>
      </c>
      <c r="L59" s="77"/>
      <c r="M59" s="78"/>
      <c r="N59" s="77"/>
      <c r="O59" s="78"/>
      <c r="P59" s="491">
        <f>40+30</f>
        <v>70</v>
      </c>
      <c r="Q59" s="495">
        <f>82+66</f>
        <v>148</v>
      </c>
      <c r="R59" s="491">
        <v>340</v>
      </c>
      <c r="S59" s="495">
        <f>338+72</f>
        <v>410</v>
      </c>
      <c r="T59" s="77"/>
      <c r="U59" s="78"/>
      <c r="V59" s="77"/>
      <c r="W59" s="78"/>
      <c r="X59" s="77"/>
      <c r="Y59" s="79"/>
      <c r="Z59" s="77"/>
      <c r="AA59" s="80"/>
      <c r="AB59" s="357">
        <f>E59/$E$61*100</f>
        <v>7.8856579595860028</v>
      </c>
      <c r="AC59" s="357">
        <f>H59/$H$61*100</f>
        <v>8.5983300763901234</v>
      </c>
      <c r="BG59" s="116"/>
      <c r="BH59" s="116"/>
      <c r="DQ59" s="480"/>
      <c r="DR59" s="480"/>
    </row>
    <row r="60" spans="1:122" ht="15.75" thickBot="1" x14ac:dyDescent="0.3">
      <c r="A60" s="970"/>
      <c r="B60" s="91" t="s">
        <v>216</v>
      </c>
      <c r="C60" s="88">
        <v>181</v>
      </c>
      <c r="D60" s="88">
        <v>0</v>
      </c>
      <c r="E60" s="373">
        <f>SUM(C60:D60)</f>
        <v>181</v>
      </c>
      <c r="F60" s="374">
        <f>T60+V60</f>
        <v>229</v>
      </c>
      <c r="G60" s="374">
        <f>U60+W60</f>
        <v>0</v>
      </c>
      <c r="H60" s="359">
        <f>SUM(F60:G60)</f>
        <v>229</v>
      </c>
      <c r="I60" s="356">
        <f t="shared" si="39"/>
        <v>1.2651933701657458</v>
      </c>
      <c r="J60" s="356" t="e">
        <f t="shared" si="39"/>
        <v>#DIV/0!</v>
      </c>
      <c r="K60" s="356">
        <f t="shared" si="39"/>
        <v>1.2651933701657458</v>
      </c>
      <c r="L60" s="92"/>
      <c r="M60" s="93"/>
      <c r="N60" s="92"/>
      <c r="O60" s="93"/>
      <c r="P60" s="92"/>
      <c r="Q60" s="93"/>
      <c r="R60" s="92"/>
      <c r="S60" s="93"/>
      <c r="T60" s="504">
        <v>10</v>
      </c>
      <c r="U60" s="505"/>
      <c r="V60" s="504">
        <v>219</v>
      </c>
      <c r="W60" s="505"/>
      <c r="X60" s="92"/>
      <c r="Y60" s="95"/>
      <c r="Z60" s="92"/>
      <c r="AA60" s="96"/>
      <c r="AB60" s="357">
        <f>E60/$E$61*100</f>
        <v>1.784130113356333</v>
      </c>
      <c r="AC60" s="357">
        <f>H60/$H$61*100</f>
        <v>2.0341090779889859</v>
      </c>
      <c r="BG60" s="116"/>
      <c r="BH60" s="116"/>
      <c r="DQ60" s="480"/>
      <c r="DR60" s="480"/>
    </row>
    <row r="61" spans="1:122" ht="30.75" customHeight="1" thickTop="1" thickBot="1" x14ac:dyDescent="0.3">
      <c r="A61" s="742" t="s">
        <v>217</v>
      </c>
      <c r="B61" s="789"/>
      <c r="C61" s="375">
        <f t="shared" ref="C61" si="40">SUM(C52:C60)</f>
        <v>5265</v>
      </c>
      <c r="D61" s="375">
        <f t="shared" ref="D61:E61" si="41">SUM(D52:D60)</f>
        <v>4880</v>
      </c>
      <c r="E61" s="375">
        <f t="shared" si="41"/>
        <v>10145</v>
      </c>
      <c r="F61" s="376">
        <f>SUM(F52:F60)</f>
        <v>6156</v>
      </c>
      <c r="G61" s="376">
        <f>SUM(G52:G60)</f>
        <v>5102</v>
      </c>
      <c r="H61" s="359">
        <f>SUM(F61:G61)</f>
        <v>11258</v>
      </c>
      <c r="I61" s="356">
        <f t="shared" si="39"/>
        <v>1.1692307692307693</v>
      </c>
      <c r="J61" s="356">
        <f t="shared" si="39"/>
        <v>1.0454918032786886</v>
      </c>
      <c r="K61" s="356">
        <f t="shared" si="39"/>
        <v>1.1097092163627402</v>
      </c>
      <c r="L61" s="377">
        <f t="shared" ref="L61:AA61" si="42">SUM(L52:L60)</f>
        <v>1469</v>
      </c>
      <c r="M61" s="378">
        <f t="shared" si="42"/>
        <v>87</v>
      </c>
      <c r="N61" s="378">
        <f t="shared" si="42"/>
        <v>513</v>
      </c>
      <c r="O61" s="378">
        <f t="shared" si="42"/>
        <v>225</v>
      </c>
      <c r="P61" s="378">
        <f t="shared" si="42"/>
        <v>1350</v>
      </c>
      <c r="Q61" s="378">
        <f t="shared" si="42"/>
        <v>857</v>
      </c>
      <c r="R61" s="378">
        <f t="shared" si="42"/>
        <v>1642</v>
      </c>
      <c r="S61" s="378">
        <f t="shared" si="42"/>
        <v>2446</v>
      </c>
      <c r="T61" s="378">
        <f t="shared" si="42"/>
        <v>458</v>
      </c>
      <c r="U61" s="378">
        <f t="shared" si="42"/>
        <v>64</v>
      </c>
      <c r="V61" s="378">
        <f t="shared" si="42"/>
        <v>580</v>
      </c>
      <c r="W61" s="378">
        <f t="shared" si="42"/>
        <v>1294</v>
      </c>
      <c r="X61" s="378">
        <f t="shared" si="42"/>
        <v>117</v>
      </c>
      <c r="Y61" s="379">
        <f t="shared" si="42"/>
        <v>129</v>
      </c>
      <c r="Z61" s="380">
        <f t="shared" si="42"/>
        <v>27</v>
      </c>
      <c r="AA61" s="381">
        <f t="shared" si="42"/>
        <v>0</v>
      </c>
      <c r="BG61" s="116"/>
      <c r="DQ61" s="480"/>
    </row>
    <row r="62" spans="1:122" ht="15.75" thickBot="1" x14ac:dyDescent="0.3">
      <c r="A62" s="97"/>
      <c r="B62" s="98"/>
      <c r="C62" s="98"/>
      <c r="D62" s="98"/>
      <c r="E62" s="98"/>
      <c r="F62" s="99"/>
      <c r="G62" s="100"/>
      <c r="H62" s="101"/>
      <c r="I62" s="101"/>
      <c r="J62" s="101"/>
      <c r="K62" s="101"/>
      <c r="L62" s="102"/>
      <c r="M62" s="102"/>
      <c r="N62" s="102"/>
      <c r="O62" s="102"/>
      <c r="P62" s="102"/>
      <c r="Q62" s="102"/>
      <c r="R62" s="102"/>
      <c r="S62" s="102"/>
      <c r="T62" s="102"/>
      <c r="U62" s="102"/>
      <c r="V62" s="102"/>
      <c r="W62" s="102"/>
      <c r="X62" s="102"/>
      <c r="Y62" s="102"/>
      <c r="Z62" s="103"/>
      <c r="AA62" s="104"/>
      <c r="BG62" s="116"/>
      <c r="DQ62" s="480"/>
    </row>
    <row r="63" spans="1:122" ht="15.75" customHeight="1" thickBot="1" x14ac:dyDescent="0.3">
      <c r="A63" s="790" t="s">
        <v>218</v>
      </c>
      <c r="B63" s="791"/>
      <c r="C63" s="544"/>
      <c r="D63" s="544"/>
      <c r="E63" s="373">
        <f>SUM(C63:D63)</f>
        <v>0</v>
      </c>
      <c r="F63" s="355">
        <f>L63+N63+P63+R63+T63+V63+X63+Z63</f>
        <v>0</v>
      </c>
      <c r="G63" s="355">
        <f>M63+O63+Q63+S63+U63+W63+Y63+AA63</f>
        <v>0</v>
      </c>
      <c r="H63" s="355">
        <f>SUM(F63:G63)</f>
        <v>0</v>
      </c>
      <c r="I63" s="356" t="e">
        <f>F63/C63</f>
        <v>#DIV/0!</v>
      </c>
      <c r="J63" s="356" t="e">
        <f>G63/D63</f>
        <v>#DIV/0!</v>
      </c>
      <c r="K63" s="356" t="e">
        <f>H63/E63</f>
        <v>#DIV/0!</v>
      </c>
      <c r="L63" s="493"/>
      <c r="M63" s="495"/>
      <c r="N63" s="491"/>
      <c r="O63" s="495"/>
      <c r="P63" s="491"/>
      <c r="Q63" s="495"/>
      <c r="R63" s="491"/>
      <c r="S63" s="495"/>
      <c r="T63" s="491"/>
      <c r="U63" s="495"/>
      <c r="V63" s="491"/>
      <c r="W63" s="495"/>
      <c r="X63" s="491"/>
      <c r="Y63" s="494"/>
      <c r="Z63" s="491"/>
      <c r="AA63" s="492"/>
      <c r="BG63" s="116"/>
      <c r="DQ63" s="480"/>
    </row>
    <row r="64" spans="1:122" x14ac:dyDescent="0.25">
      <c r="C64" s="116"/>
      <c r="D64" s="116"/>
      <c r="E64" s="116"/>
      <c r="BG64" s="116"/>
      <c r="DQ64" s="480"/>
    </row>
    <row r="65" spans="1:121" ht="15.75" thickBot="1" x14ac:dyDescent="0.3">
      <c r="C65" s="116"/>
      <c r="D65" s="116"/>
      <c r="E65" s="116"/>
      <c r="BG65" s="116"/>
      <c r="DQ65" s="480"/>
    </row>
    <row r="66" spans="1:121" ht="15.75" thickBot="1" x14ac:dyDescent="0.3">
      <c r="A66" s="792" t="s">
        <v>221</v>
      </c>
      <c r="B66" s="793"/>
      <c r="C66" s="793"/>
      <c r="D66" s="793"/>
      <c r="E66" s="793"/>
      <c r="F66" s="793"/>
      <c r="G66" s="793"/>
      <c r="H66" s="793"/>
      <c r="I66" s="793"/>
      <c r="J66" s="793"/>
      <c r="K66" s="793"/>
      <c r="L66" s="793"/>
      <c r="M66" s="793"/>
      <c r="N66" s="793"/>
      <c r="O66" s="793"/>
      <c r="P66" s="793"/>
      <c r="Q66" s="793"/>
      <c r="R66" s="793"/>
      <c r="S66" s="793"/>
      <c r="T66" s="793"/>
      <c r="U66" s="793"/>
      <c r="V66" s="793"/>
      <c r="W66" s="793"/>
      <c r="X66" s="793"/>
      <c r="Y66" s="793"/>
      <c r="Z66" s="793"/>
      <c r="AA66" s="793"/>
      <c r="AB66" s="793"/>
      <c r="AC66" s="793"/>
      <c r="AD66" s="793"/>
      <c r="AE66" s="793"/>
      <c r="AF66" s="793"/>
      <c r="AG66" s="793"/>
      <c r="AH66" s="793"/>
      <c r="AI66" s="793"/>
      <c r="AJ66" s="793"/>
      <c r="AK66" s="794"/>
      <c r="AL66" s="794"/>
      <c r="AM66" s="794"/>
      <c r="AN66" s="794"/>
      <c r="AO66" s="794"/>
      <c r="AP66" s="794"/>
      <c r="AQ66" s="794"/>
      <c r="AR66" s="794"/>
      <c r="AS66" s="794"/>
      <c r="AT66" s="794"/>
      <c r="AU66" s="794"/>
      <c r="AV66" s="794"/>
      <c r="AW66" s="794"/>
      <c r="AX66" s="794"/>
      <c r="AY66" s="794"/>
      <c r="AZ66" s="794"/>
      <c r="BA66" s="794"/>
      <c r="BB66" s="794"/>
      <c r="BC66" s="794"/>
      <c r="BD66" s="794"/>
      <c r="BE66" s="794"/>
      <c r="BF66" s="794"/>
      <c r="BG66" s="755"/>
      <c r="CY66" s="481"/>
      <c r="CZ66" s="481"/>
      <c r="DA66" s="481"/>
      <c r="DB66" s="481"/>
      <c r="DC66" s="481"/>
      <c r="DD66" s="481"/>
      <c r="DE66" s="481"/>
      <c r="DF66" s="481"/>
      <c r="DG66" s="481"/>
      <c r="DH66" s="481"/>
      <c r="DI66" s="481"/>
      <c r="DJ66" s="481"/>
      <c r="DK66" s="481"/>
      <c r="DL66" s="481"/>
      <c r="DM66" s="481"/>
      <c r="DN66" s="481"/>
      <c r="DO66" s="481"/>
      <c r="DP66" s="481"/>
    </row>
    <row r="67" spans="1:121" ht="100.5" customHeight="1" thickBot="1" x14ac:dyDescent="0.3">
      <c r="A67" s="795" t="s">
        <v>82</v>
      </c>
      <c r="B67" s="796"/>
      <c r="C67" s="796"/>
      <c r="D67" s="796"/>
      <c r="E67" s="797"/>
      <c r="F67" s="798" t="s">
        <v>222</v>
      </c>
      <c r="G67" s="798"/>
      <c r="H67" s="798"/>
      <c r="I67" s="798"/>
      <c r="J67" s="798"/>
      <c r="K67" s="798"/>
      <c r="L67" s="798"/>
      <c r="M67" s="798"/>
      <c r="N67" s="798"/>
      <c r="O67" s="798" t="s">
        <v>223</v>
      </c>
      <c r="P67" s="798"/>
      <c r="Q67" s="798"/>
      <c r="R67" s="798"/>
      <c r="S67" s="798"/>
      <c r="T67" s="798"/>
      <c r="U67" s="798"/>
      <c r="V67" s="798"/>
      <c r="W67" s="798"/>
      <c r="X67" s="798" t="s">
        <v>224</v>
      </c>
      <c r="Y67" s="798"/>
      <c r="Z67" s="798"/>
      <c r="AA67" s="798"/>
      <c r="AB67" s="798"/>
      <c r="AC67" s="798"/>
      <c r="AD67" s="798"/>
      <c r="AE67" s="798"/>
      <c r="AF67" s="798"/>
      <c r="AG67" s="792" t="s">
        <v>225</v>
      </c>
      <c r="AH67" s="793"/>
      <c r="AI67" s="799"/>
      <c r="AJ67" s="800" t="s">
        <v>226</v>
      </c>
      <c r="AK67" s="801"/>
      <c r="AL67" s="801"/>
      <c r="AM67" s="801"/>
      <c r="AN67" s="801"/>
      <c r="AO67" s="801"/>
      <c r="AP67" s="801"/>
      <c r="AQ67" s="801"/>
      <c r="AR67" s="802"/>
      <c r="AS67" s="978" t="s">
        <v>307</v>
      </c>
      <c r="AT67" s="801"/>
      <c r="AU67" s="801"/>
      <c r="AV67" s="979"/>
      <c r="AW67" s="983" t="s">
        <v>308</v>
      </c>
      <c r="AX67" s="801"/>
      <c r="AY67" s="801"/>
      <c r="AZ67" s="979"/>
      <c r="BA67" s="803" t="s">
        <v>309</v>
      </c>
      <c r="BB67" s="801"/>
      <c r="BC67" s="801"/>
      <c r="BD67" s="979"/>
      <c r="BE67" s="792" t="s">
        <v>230</v>
      </c>
      <c r="BF67" s="793"/>
      <c r="BG67" s="799"/>
      <c r="BH67" s="506"/>
    </row>
    <row r="68" spans="1:121" ht="77.25" customHeight="1" thickBot="1" x14ac:dyDescent="0.3">
      <c r="A68" s="809" t="s">
        <v>231</v>
      </c>
      <c r="B68" s="810"/>
      <c r="C68" s="810"/>
      <c r="D68" s="810"/>
      <c r="E68" s="811"/>
      <c r="F68" s="761" t="s">
        <v>232</v>
      </c>
      <c r="G68" s="762"/>
      <c r="H68" s="763"/>
      <c r="I68" s="761" t="s">
        <v>233</v>
      </c>
      <c r="J68" s="762"/>
      <c r="K68" s="763"/>
      <c r="L68" s="761" t="s">
        <v>234</v>
      </c>
      <c r="M68" s="762"/>
      <c r="N68" s="763"/>
      <c r="O68" s="761" t="s">
        <v>232</v>
      </c>
      <c r="P68" s="762"/>
      <c r="Q68" s="763"/>
      <c r="R68" s="761" t="s">
        <v>233</v>
      </c>
      <c r="S68" s="762"/>
      <c r="T68" s="763"/>
      <c r="U68" s="761" t="s">
        <v>234</v>
      </c>
      <c r="V68" s="762"/>
      <c r="W68" s="763"/>
      <c r="X68" s="761" t="s">
        <v>232</v>
      </c>
      <c r="Y68" s="762"/>
      <c r="Z68" s="763"/>
      <c r="AA68" s="761" t="s">
        <v>233</v>
      </c>
      <c r="AB68" s="762"/>
      <c r="AC68" s="762"/>
      <c r="AD68" s="764" t="s">
        <v>234</v>
      </c>
      <c r="AE68" s="765"/>
      <c r="AF68" s="766"/>
      <c r="AG68" s="764" t="s">
        <v>234</v>
      </c>
      <c r="AH68" s="765"/>
      <c r="AI68" s="766"/>
      <c r="AJ68" s="764" t="s">
        <v>232</v>
      </c>
      <c r="AK68" s="765"/>
      <c r="AL68" s="766"/>
      <c r="AM68" s="764" t="s">
        <v>233</v>
      </c>
      <c r="AN68" s="765"/>
      <c r="AO68" s="766"/>
      <c r="AP68" s="764" t="s">
        <v>234</v>
      </c>
      <c r="AQ68" s="765"/>
      <c r="AR68" s="766"/>
      <c r="AS68" s="980"/>
      <c r="AT68" s="981"/>
      <c r="AU68" s="981"/>
      <c r="AV68" s="982"/>
      <c r="AW68" s="980"/>
      <c r="AX68" s="981"/>
      <c r="AY68" s="981"/>
      <c r="AZ68" s="982"/>
      <c r="BA68" s="980"/>
      <c r="BB68" s="981"/>
      <c r="BC68" s="981"/>
      <c r="BD68" s="982"/>
      <c r="BE68" s="107" t="s">
        <v>310</v>
      </c>
      <c r="BF68" s="387" t="s">
        <v>311</v>
      </c>
      <c r="BG68" s="107" t="s">
        <v>312</v>
      </c>
      <c r="BH68" s="506"/>
    </row>
    <row r="69" spans="1:121" ht="35.25" customHeight="1" thickBot="1" x14ac:dyDescent="0.3">
      <c r="A69" s="783"/>
      <c r="B69" s="765"/>
      <c r="C69" s="765"/>
      <c r="D69" s="765"/>
      <c r="E69" s="766"/>
      <c r="F69" s="108" t="s">
        <v>237</v>
      </c>
      <c r="G69" s="108" t="s">
        <v>238</v>
      </c>
      <c r="H69" s="108" t="s">
        <v>239</v>
      </c>
      <c r="I69" s="108" t="s">
        <v>237</v>
      </c>
      <c r="J69" s="108" t="s">
        <v>238</v>
      </c>
      <c r="K69" s="108" t="s">
        <v>239</v>
      </c>
      <c r="L69" s="108" t="s">
        <v>237</v>
      </c>
      <c r="M69" s="108" t="s">
        <v>238</v>
      </c>
      <c r="N69" s="108" t="s">
        <v>239</v>
      </c>
      <c r="O69" s="108" t="s">
        <v>237</v>
      </c>
      <c r="P69" s="108" t="s">
        <v>238</v>
      </c>
      <c r="Q69" s="108" t="s">
        <v>239</v>
      </c>
      <c r="R69" s="108" t="s">
        <v>237</v>
      </c>
      <c r="S69" s="108" t="s">
        <v>238</v>
      </c>
      <c r="T69" s="108" t="s">
        <v>239</v>
      </c>
      <c r="U69" s="108" t="s">
        <v>237</v>
      </c>
      <c r="V69" s="108" t="s">
        <v>238</v>
      </c>
      <c r="W69" s="108" t="s">
        <v>239</v>
      </c>
      <c r="X69" s="108" t="s">
        <v>237</v>
      </c>
      <c r="Y69" s="108" t="s">
        <v>238</v>
      </c>
      <c r="Z69" s="108" t="s">
        <v>239</v>
      </c>
      <c r="AA69" s="108" t="s">
        <v>237</v>
      </c>
      <c r="AB69" s="108" t="s">
        <v>238</v>
      </c>
      <c r="AC69" s="108" t="s">
        <v>239</v>
      </c>
      <c r="AD69" s="108" t="s">
        <v>237</v>
      </c>
      <c r="AE69" s="108" t="s">
        <v>238</v>
      </c>
      <c r="AF69" s="108" t="s">
        <v>239</v>
      </c>
      <c r="AG69" s="108" t="s">
        <v>237</v>
      </c>
      <c r="AH69" s="108" t="s">
        <v>238</v>
      </c>
      <c r="AI69" s="108" t="s">
        <v>239</v>
      </c>
      <c r="AJ69" s="108" t="s">
        <v>237</v>
      </c>
      <c r="AK69" s="108" t="s">
        <v>238</v>
      </c>
      <c r="AL69" s="108" t="s">
        <v>239</v>
      </c>
      <c r="AM69" s="108" t="s">
        <v>237</v>
      </c>
      <c r="AN69" s="108" t="s">
        <v>238</v>
      </c>
      <c r="AO69" s="108" t="s">
        <v>239</v>
      </c>
      <c r="AP69" s="108" t="s">
        <v>237</v>
      </c>
      <c r="AQ69" s="108" t="s">
        <v>238</v>
      </c>
      <c r="AR69" s="108" t="s">
        <v>239</v>
      </c>
      <c r="AS69" s="388" t="s">
        <v>237</v>
      </c>
      <c r="AT69" s="388" t="s">
        <v>238</v>
      </c>
      <c r="AU69" s="388" t="s">
        <v>239</v>
      </c>
      <c r="AV69" s="388" t="s">
        <v>193</v>
      </c>
      <c r="AW69" s="109" t="s">
        <v>237</v>
      </c>
      <c r="AX69" s="109" t="s">
        <v>238</v>
      </c>
      <c r="AY69" s="109" t="s">
        <v>239</v>
      </c>
      <c r="AZ69" s="109" t="s">
        <v>193</v>
      </c>
      <c r="BA69" s="389" t="s">
        <v>237</v>
      </c>
      <c r="BB69" s="389" t="s">
        <v>238</v>
      </c>
      <c r="BC69" s="389" t="s">
        <v>239</v>
      </c>
      <c r="BD69" s="389" t="s">
        <v>193</v>
      </c>
      <c r="BE69" s="989">
        <v>1377</v>
      </c>
      <c r="BF69" s="991">
        <v>1500</v>
      </c>
      <c r="BG69" s="988">
        <f>BF69/BE69</f>
        <v>1.0893246187363834</v>
      </c>
      <c r="DD69" s="481"/>
      <c r="DE69" s="481"/>
      <c r="DF69" s="481"/>
      <c r="DG69" s="481"/>
      <c r="DH69" s="481"/>
      <c r="DI69" s="481"/>
      <c r="DJ69" s="481"/>
      <c r="DK69" s="481"/>
      <c r="DL69" s="481"/>
      <c r="DM69" s="481"/>
      <c r="DN69" s="481"/>
      <c r="DO69" s="481"/>
      <c r="DP69" s="481"/>
    </row>
    <row r="70" spans="1:121" ht="15" customHeight="1" thickBot="1" x14ac:dyDescent="0.3">
      <c r="A70" s="771" t="s">
        <v>240</v>
      </c>
      <c r="B70" s="971" t="s">
        <v>313</v>
      </c>
      <c r="C70" s="972"/>
      <c r="D70" s="972"/>
      <c r="E70" s="973"/>
      <c r="F70" s="545"/>
      <c r="G70" s="545"/>
      <c r="H70" s="545"/>
      <c r="I70" s="545"/>
      <c r="J70" s="545"/>
      <c r="K70" s="545"/>
      <c r="L70" s="545"/>
      <c r="M70" s="545"/>
      <c r="N70" s="545"/>
      <c r="O70" s="545"/>
      <c r="P70" s="545"/>
      <c r="Q70" s="545"/>
      <c r="R70" s="545"/>
      <c r="S70" s="545"/>
      <c r="T70" s="545"/>
      <c r="U70" s="545">
        <v>1</v>
      </c>
      <c r="V70" s="545"/>
      <c r="W70" s="545"/>
      <c r="X70" s="545"/>
      <c r="Y70" s="545"/>
      <c r="Z70" s="545"/>
      <c r="AA70" s="545"/>
      <c r="AB70" s="545"/>
      <c r="AC70" s="545"/>
      <c r="AD70" s="545"/>
      <c r="AE70" s="545"/>
      <c r="AF70" s="545"/>
      <c r="AG70" s="545"/>
      <c r="AH70" s="545"/>
      <c r="AI70" s="545"/>
      <c r="AJ70" s="545"/>
      <c r="AK70" s="545"/>
      <c r="AL70" s="545"/>
      <c r="AM70" s="545"/>
      <c r="AN70" s="545"/>
      <c r="AO70" s="545"/>
      <c r="AP70" s="545"/>
      <c r="AQ70" s="545"/>
      <c r="AR70" s="545"/>
      <c r="AS70" s="974">
        <f>F70+I70+L70+O70+R70+U70+X70+AA70+AD70+AG70+AJ70+AM70+AP70</f>
        <v>1</v>
      </c>
      <c r="AT70" s="974">
        <f>G70+J70+M70+P70+S70+V70+Y70+AB70+AE70+AH70+AK70+AN70+AQ70</f>
        <v>0</v>
      </c>
      <c r="AU70" s="974">
        <f>H70+K70+N70+Q70+T70+W70+Z70+AC70+AF70+AI70+AL70+AO70+AR70</f>
        <v>0</v>
      </c>
      <c r="AV70" s="986">
        <f>SUM(AS70:AU71)</f>
        <v>1</v>
      </c>
      <c r="AW70" s="976">
        <f>F71+I71+L71+O71+R71+U71+X71+AA71+AD71+AG71+AJ71+AM71+AP71</f>
        <v>0</v>
      </c>
      <c r="AX70" s="976">
        <f>G71+J71+M71+P71+S71+V71+Y71+AB71+AE71+AH71+AK71+AN71+AQ71</f>
        <v>0</v>
      </c>
      <c r="AY70" s="976">
        <f>H71+K71+N71+Q71+T71+W71+Z71+AC71+AF71+AI71+AL71+AO71+AR71</f>
        <v>0</v>
      </c>
      <c r="AZ70" s="976">
        <f>SUM(AW70:AY71)</f>
        <v>0</v>
      </c>
      <c r="BA70" s="984">
        <f>AW70/AS70</f>
        <v>0</v>
      </c>
      <c r="BB70" s="984" t="e">
        <f>AX70/AT70</f>
        <v>#DIV/0!</v>
      </c>
      <c r="BC70" s="984" t="e">
        <f>AY70/AU70</f>
        <v>#DIV/0!</v>
      </c>
      <c r="BD70" s="984">
        <f>AZ70/AV70</f>
        <v>0</v>
      </c>
      <c r="BE70" s="990"/>
      <c r="BF70" s="991"/>
      <c r="BG70" s="988"/>
      <c r="DD70" s="481"/>
      <c r="DE70" s="481"/>
      <c r="DF70" s="481"/>
      <c r="DG70" s="481"/>
      <c r="DH70" s="481"/>
      <c r="DI70" s="481"/>
      <c r="DJ70" s="481"/>
      <c r="DK70" s="481"/>
      <c r="DL70" s="481"/>
      <c r="DM70" s="481"/>
      <c r="DN70" s="481"/>
      <c r="DO70" s="481"/>
      <c r="DP70" s="481"/>
    </row>
    <row r="71" spans="1:121" ht="15.75" customHeight="1" thickBot="1" x14ac:dyDescent="0.3">
      <c r="A71" s="772"/>
      <c r="B71" s="780" t="s">
        <v>314</v>
      </c>
      <c r="C71" s="781"/>
      <c r="D71" s="781"/>
      <c r="E71" s="782"/>
      <c r="F71" s="608"/>
      <c r="G71" s="608"/>
      <c r="H71" s="608"/>
      <c r="I71" s="608"/>
      <c r="J71" s="608"/>
      <c r="K71" s="608"/>
      <c r="L71" s="608"/>
      <c r="M71" s="608"/>
      <c r="N71" s="608"/>
      <c r="O71" s="608"/>
      <c r="P71" s="608"/>
      <c r="Q71" s="608"/>
      <c r="R71" s="608"/>
      <c r="S71" s="608"/>
      <c r="T71" s="608"/>
      <c r="U71" s="608"/>
      <c r="V71" s="608"/>
      <c r="W71" s="608"/>
      <c r="X71" s="608"/>
      <c r="Y71" s="608"/>
      <c r="Z71" s="608"/>
      <c r="AA71" s="608"/>
      <c r="AB71" s="608"/>
      <c r="AC71" s="608"/>
      <c r="AD71" s="608"/>
      <c r="AE71" s="608"/>
      <c r="AF71" s="608"/>
      <c r="AG71" s="608"/>
      <c r="AH71" s="608"/>
      <c r="AI71" s="608"/>
      <c r="AJ71" s="608"/>
      <c r="AK71" s="608"/>
      <c r="AL71" s="608"/>
      <c r="AM71" s="608"/>
      <c r="AN71" s="608"/>
      <c r="AO71" s="608"/>
      <c r="AP71" s="608"/>
      <c r="AQ71" s="608"/>
      <c r="AR71" s="608"/>
      <c r="AS71" s="975"/>
      <c r="AT71" s="975"/>
      <c r="AU71" s="975"/>
      <c r="AV71" s="987"/>
      <c r="AW71" s="977"/>
      <c r="AX71" s="977"/>
      <c r="AY71" s="977"/>
      <c r="AZ71" s="977"/>
      <c r="BA71" s="985"/>
      <c r="BB71" s="985"/>
      <c r="BC71" s="985"/>
      <c r="BD71" s="985"/>
      <c r="BE71" s="990"/>
      <c r="BF71" s="991"/>
      <c r="BG71" s="988"/>
      <c r="DD71" s="481"/>
      <c r="DE71" s="481"/>
      <c r="DF71" s="481"/>
      <c r="DG71" s="481"/>
      <c r="DH71" s="481"/>
      <c r="DI71" s="481"/>
      <c r="DJ71" s="481"/>
      <c r="DK71" s="481"/>
      <c r="DL71" s="481"/>
      <c r="DM71" s="481"/>
      <c r="DN71" s="481"/>
      <c r="DO71" s="481"/>
      <c r="DP71" s="481"/>
    </row>
    <row r="72" spans="1:121" ht="15" customHeight="1" thickBot="1" x14ac:dyDescent="0.3">
      <c r="A72" s="771" t="s">
        <v>241</v>
      </c>
      <c r="B72" s="971" t="s">
        <v>313</v>
      </c>
      <c r="C72" s="972"/>
      <c r="D72" s="972"/>
      <c r="E72" s="973"/>
      <c r="F72" s="545">
        <v>3</v>
      </c>
      <c r="G72" s="545">
        <v>9</v>
      </c>
      <c r="H72" s="545">
        <v>0</v>
      </c>
      <c r="I72" s="545">
        <v>13</v>
      </c>
      <c r="J72" s="545">
        <v>14</v>
      </c>
      <c r="K72" s="545">
        <v>29</v>
      </c>
      <c r="L72" s="545">
        <v>9</v>
      </c>
      <c r="M72" s="545">
        <v>9</v>
      </c>
      <c r="N72" s="545">
        <v>3</v>
      </c>
      <c r="O72" s="545">
        <v>83</v>
      </c>
      <c r="P72" s="545">
        <v>120</v>
      </c>
      <c r="Q72" s="545"/>
      <c r="R72" s="545">
        <v>108</v>
      </c>
      <c r="S72" s="545">
        <v>199</v>
      </c>
      <c r="T72" s="545">
        <v>115</v>
      </c>
      <c r="U72" s="545">
        <v>103</v>
      </c>
      <c r="V72" s="545">
        <v>162</v>
      </c>
      <c r="W72" s="545">
        <v>41</v>
      </c>
      <c r="X72" s="545">
        <v>1</v>
      </c>
      <c r="Y72" s="545">
        <v>3</v>
      </c>
      <c r="Z72" s="545"/>
      <c r="AA72" s="545">
        <v>3</v>
      </c>
      <c r="AB72" s="545">
        <v>2</v>
      </c>
      <c r="AC72" s="545">
        <v>6</v>
      </c>
      <c r="AD72" s="545">
        <v>1</v>
      </c>
      <c r="AE72" s="545">
        <v>3</v>
      </c>
      <c r="AF72" s="545">
        <v>1</v>
      </c>
      <c r="AG72" s="545"/>
      <c r="AH72" s="545"/>
      <c r="AI72" s="545"/>
      <c r="AJ72" s="545"/>
      <c r="AK72" s="545"/>
      <c r="AL72" s="545"/>
      <c r="AM72" s="545"/>
      <c r="AN72" s="545"/>
      <c r="AO72" s="545"/>
      <c r="AP72" s="545"/>
      <c r="AQ72" s="545"/>
      <c r="AR72" s="545"/>
      <c r="AS72" s="974">
        <f>F72+I72+L72+O72+R72+U72+X72+AA72+AD72+AG72+AJ72+AM72+AP72</f>
        <v>324</v>
      </c>
      <c r="AT72" s="974">
        <f t="shared" ref="AT72:AU72" si="43">G72+J72+M72+P72+S72+V72+Y72+AB72+AE72+AH72+AK72+AN72+AQ72</f>
        <v>521</v>
      </c>
      <c r="AU72" s="974">
        <f t="shared" si="43"/>
        <v>195</v>
      </c>
      <c r="AV72" s="986">
        <f t="shared" ref="AV72" si="44">SUM(AS72:AU73)</f>
        <v>1040</v>
      </c>
      <c r="AW72" s="976">
        <f>F73+I73+L73+O73+R73+U73+X73+AA73+AD73+AG73+AJ73+AM73+AP73</f>
        <v>391</v>
      </c>
      <c r="AX72" s="976">
        <f t="shared" ref="AX72:AY72" si="45">G73+J73+M73+P73+S73+V73+Y73+AB73+AE73+AH73+AK73+AN73+AQ73</f>
        <v>591</v>
      </c>
      <c r="AY72" s="976">
        <f t="shared" si="45"/>
        <v>258</v>
      </c>
      <c r="AZ72" s="976">
        <f t="shared" ref="AZ72" si="46">SUM(AW72:AY73)</f>
        <v>1240</v>
      </c>
      <c r="BA72" s="984">
        <f>AW72/AS72</f>
        <v>1.2067901234567902</v>
      </c>
      <c r="BB72" s="984">
        <f>AX72/AT72</f>
        <v>1.1343570057581573</v>
      </c>
      <c r="BC72" s="984">
        <f>AY72/AU72</f>
        <v>1.323076923076923</v>
      </c>
      <c r="BD72" s="984">
        <f t="shared" ref="BD72" si="47">AZ72/AV72</f>
        <v>1.1923076923076923</v>
      </c>
      <c r="BE72" s="990"/>
      <c r="BF72" s="991"/>
      <c r="BG72" s="988"/>
      <c r="DD72" s="481"/>
      <c r="DE72" s="481"/>
      <c r="DF72" s="481"/>
      <c r="DG72" s="481"/>
      <c r="DH72" s="481"/>
      <c r="DI72" s="481"/>
      <c r="DJ72" s="481"/>
      <c r="DK72" s="481"/>
      <c r="DL72" s="481"/>
      <c r="DM72" s="481"/>
      <c r="DN72" s="481"/>
      <c r="DO72" s="481"/>
      <c r="DP72" s="481"/>
    </row>
    <row r="73" spans="1:121" ht="15.75" customHeight="1" thickBot="1" x14ac:dyDescent="0.3">
      <c r="A73" s="772"/>
      <c r="B73" s="780" t="s">
        <v>314</v>
      </c>
      <c r="C73" s="781"/>
      <c r="D73" s="781"/>
      <c r="E73" s="782"/>
      <c r="F73" s="608"/>
      <c r="G73" s="608"/>
      <c r="H73" s="608"/>
      <c r="I73" s="608"/>
      <c r="J73" s="608"/>
      <c r="K73" s="608"/>
      <c r="L73" s="608"/>
      <c r="M73" s="608"/>
      <c r="N73" s="608"/>
      <c r="O73" s="608">
        <v>90</v>
      </c>
      <c r="P73" s="608">
        <v>120</v>
      </c>
      <c r="Q73" s="608"/>
      <c r="R73" s="608">
        <v>130</v>
      </c>
      <c r="S73" s="608">
        <v>240</v>
      </c>
      <c r="T73" s="608">
        <v>140</v>
      </c>
      <c r="U73" s="608">
        <v>130</v>
      </c>
      <c r="V73" s="608">
        <v>190</v>
      </c>
      <c r="W73" s="608">
        <v>70</v>
      </c>
      <c r="X73" s="608"/>
      <c r="Y73" s="608"/>
      <c r="Z73" s="608"/>
      <c r="AA73" s="608">
        <v>3</v>
      </c>
      <c r="AB73" s="608">
        <v>3</v>
      </c>
      <c r="AC73" s="608">
        <v>4</v>
      </c>
      <c r="AD73" s="608">
        <v>3</v>
      </c>
      <c r="AE73" s="608">
        <v>3</v>
      </c>
      <c r="AF73" s="608">
        <v>4</v>
      </c>
      <c r="AG73" s="608">
        <v>35</v>
      </c>
      <c r="AH73" s="608">
        <v>35</v>
      </c>
      <c r="AI73" s="608">
        <v>40</v>
      </c>
      <c r="AJ73" s="608"/>
      <c r="AK73" s="608"/>
      <c r="AL73" s="608"/>
      <c r="AM73" s="608"/>
      <c r="AN73" s="608"/>
      <c r="AO73" s="608"/>
      <c r="AP73" s="608"/>
      <c r="AQ73" s="608"/>
      <c r="AR73" s="608"/>
      <c r="AS73" s="975"/>
      <c r="AT73" s="975"/>
      <c r="AU73" s="975"/>
      <c r="AV73" s="987"/>
      <c r="AW73" s="977"/>
      <c r="AX73" s="977"/>
      <c r="AY73" s="977"/>
      <c r="AZ73" s="977"/>
      <c r="BA73" s="985"/>
      <c r="BB73" s="985"/>
      <c r="BC73" s="985"/>
      <c r="BD73" s="985"/>
      <c r="BE73" s="990"/>
      <c r="BF73" s="991"/>
      <c r="BG73" s="988"/>
      <c r="DD73" s="481"/>
      <c r="DE73" s="481"/>
      <c r="DF73" s="481"/>
      <c r="DG73" s="481"/>
      <c r="DH73" s="481"/>
      <c r="DI73" s="481"/>
      <c r="DJ73" s="481"/>
      <c r="DK73" s="481"/>
      <c r="DL73" s="481"/>
      <c r="DM73" s="481"/>
      <c r="DN73" s="481"/>
      <c r="DO73" s="481"/>
      <c r="DP73" s="481"/>
    </row>
    <row r="74" spans="1:121" ht="15" customHeight="1" thickBot="1" x14ac:dyDescent="0.3">
      <c r="A74" s="771" t="s">
        <v>242</v>
      </c>
      <c r="B74" s="971" t="s">
        <v>313</v>
      </c>
      <c r="C74" s="972"/>
      <c r="D74" s="972"/>
      <c r="E74" s="973"/>
      <c r="F74" s="545">
        <v>1</v>
      </c>
      <c r="G74" s="545"/>
      <c r="H74" s="545"/>
      <c r="I74" s="545">
        <v>2</v>
      </c>
      <c r="J74" s="545">
        <v>1</v>
      </c>
      <c r="K74" s="545">
        <v>5</v>
      </c>
      <c r="L74" s="545">
        <v>1</v>
      </c>
      <c r="M74" s="545">
        <v>1</v>
      </c>
      <c r="N74" s="545"/>
      <c r="O74" s="545">
        <v>84</v>
      </c>
      <c r="P74" s="545">
        <v>64</v>
      </c>
      <c r="Q74" s="545"/>
      <c r="R74" s="545">
        <v>79</v>
      </c>
      <c r="S74" s="545">
        <v>115</v>
      </c>
      <c r="T74" s="545">
        <v>124</v>
      </c>
      <c r="U74" s="545">
        <v>155</v>
      </c>
      <c r="V74" s="545">
        <v>204</v>
      </c>
      <c r="W74" s="545">
        <v>50</v>
      </c>
      <c r="X74" s="545"/>
      <c r="Y74" s="545">
        <v>1</v>
      </c>
      <c r="Z74" s="545"/>
      <c r="AA74" s="545">
        <v>2</v>
      </c>
      <c r="AB74" s="545"/>
      <c r="AC74" s="545"/>
      <c r="AD74" s="545"/>
      <c r="AE74" s="545"/>
      <c r="AF74" s="545">
        <v>1</v>
      </c>
      <c r="AG74" s="545"/>
      <c r="AH74" s="545"/>
      <c r="AI74" s="545"/>
      <c r="AJ74" s="545"/>
      <c r="AK74" s="545"/>
      <c r="AL74" s="545"/>
      <c r="AM74" s="545"/>
      <c r="AN74" s="545"/>
      <c r="AO74" s="545"/>
      <c r="AP74" s="545"/>
      <c r="AQ74" s="545"/>
      <c r="AR74" s="545"/>
      <c r="AS74" s="974">
        <f t="shared" ref="AS74:AU74" si="48">F74+I74+L74+O74+R74+U74+X74+AA74+AD74+AG74+AJ74+AM74+AP74</f>
        <v>324</v>
      </c>
      <c r="AT74" s="974">
        <f t="shared" si="48"/>
        <v>386</v>
      </c>
      <c r="AU74" s="974">
        <f t="shared" si="48"/>
        <v>180</v>
      </c>
      <c r="AV74" s="986">
        <f t="shared" ref="AV74" si="49">SUM(AS74:AU75)</f>
        <v>890</v>
      </c>
      <c r="AW74" s="976">
        <f t="shared" ref="AW74:AX74" si="50">F75+I75+L75+O75+R75+U75+X75+AA75+AD75+AG75+AJ75+AM75+AP75</f>
        <v>306</v>
      </c>
      <c r="AX74" s="976">
        <f t="shared" si="50"/>
        <v>366</v>
      </c>
      <c r="AY74" s="976">
        <f>H75+K75+N75+Q75+T75+W75+Z75+AC75+AF75+AI75+AL75+AO75+AR75</f>
        <v>188</v>
      </c>
      <c r="AZ74" s="976">
        <f t="shared" ref="AZ74" si="51">SUM(AW74:AY75)</f>
        <v>860</v>
      </c>
      <c r="BA74" s="984">
        <f>AW74/AS74</f>
        <v>0.94444444444444442</v>
      </c>
      <c r="BB74" s="984">
        <f>AX74/AT74</f>
        <v>0.94818652849740936</v>
      </c>
      <c r="BC74" s="984">
        <f>AY74/AU74</f>
        <v>1.0444444444444445</v>
      </c>
      <c r="BD74" s="984">
        <f t="shared" ref="BD74" si="52">AZ74/AV74</f>
        <v>0.9662921348314607</v>
      </c>
      <c r="BE74" s="990"/>
      <c r="BF74" s="991"/>
      <c r="BG74" s="988"/>
      <c r="DD74" s="481"/>
      <c r="DE74" s="481"/>
      <c r="DF74" s="481"/>
      <c r="DG74" s="481"/>
      <c r="DH74" s="481"/>
      <c r="DI74" s="481"/>
      <c r="DJ74" s="481"/>
      <c r="DK74" s="481"/>
      <c r="DL74" s="481"/>
      <c r="DM74" s="481"/>
      <c r="DN74" s="481"/>
      <c r="DO74" s="481"/>
      <c r="DP74" s="481"/>
    </row>
    <row r="75" spans="1:121" ht="15.75" customHeight="1" thickBot="1" x14ac:dyDescent="0.3">
      <c r="A75" s="772"/>
      <c r="B75" s="780" t="s">
        <v>314</v>
      </c>
      <c r="C75" s="781"/>
      <c r="D75" s="781"/>
      <c r="E75" s="782"/>
      <c r="F75" s="608"/>
      <c r="G75" s="608"/>
      <c r="H75" s="608"/>
      <c r="I75" s="608"/>
      <c r="J75" s="608"/>
      <c r="K75" s="608"/>
      <c r="L75" s="608"/>
      <c r="M75" s="608"/>
      <c r="N75" s="608"/>
      <c r="O75" s="608">
        <v>90</v>
      </c>
      <c r="P75" s="608">
        <v>70</v>
      </c>
      <c r="Q75" s="608"/>
      <c r="R75" s="608">
        <v>40</v>
      </c>
      <c r="S75" s="608">
        <v>80</v>
      </c>
      <c r="T75" s="608">
        <v>100</v>
      </c>
      <c r="U75" s="608">
        <v>160</v>
      </c>
      <c r="V75" s="608">
        <v>200</v>
      </c>
      <c r="W75" s="608">
        <v>70</v>
      </c>
      <c r="X75" s="608"/>
      <c r="Y75" s="608"/>
      <c r="Z75" s="608"/>
      <c r="AA75" s="608">
        <v>3</v>
      </c>
      <c r="AB75" s="608">
        <v>3</v>
      </c>
      <c r="AC75" s="608">
        <v>4</v>
      </c>
      <c r="AD75" s="608">
        <v>3</v>
      </c>
      <c r="AE75" s="608">
        <v>3</v>
      </c>
      <c r="AF75" s="608">
        <v>4</v>
      </c>
      <c r="AG75" s="608">
        <v>10</v>
      </c>
      <c r="AH75" s="608">
        <v>10</v>
      </c>
      <c r="AI75" s="608">
        <v>10</v>
      </c>
      <c r="AJ75" s="608"/>
      <c r="AK75" s="608"/>
      <c r="AL75" s="608"/>
      <c r="AM75" s="608"/>
      <c r="AN75" s="608"/>
      <c r="AO75" s="608"/>
      <c r="AP75" s="608"/>
      <c r="AQ75" s="608"/>
      <c r="AR75" s="608"/>
      <c r="AS75" s="975"/>
      <c r="AT75" s="975"/>
      <c r="AU75" s="975"/>
      <c r="AV75" s="987"/>
      <c r="AW75" s="977"/>
      <c r="AX75" s="977"/>
      <c r="AY75" s="977"/>
      <c r="AZ75" s="977"/>
      <c r="BA75" s="985"/>
      <c r="BB75" s="985"/>
      <c r="BC75" s="985"/>
      <c r="BD75" s="985"/>
      <c r="BE75" s="990"/>
      <c r="BF75" s="991"/>
      <c r="BG75" s="988"/>
      <c r="DD75" s="481"/>
      <c r="DE75" s="481"/>
      <c r="DF75" s="481"/>
      <c r="DG75" s="481"/>
      <c r="DH75" s="481"/>
      <c r="DI75" s="481"/>
      <c r="DJ75" s="481"/>
      <c r="DK75" s="481"/>
      <c r="DL75" s="481"/>
      <c r="DM75" s="481"/>
      <c r="DN75" s="481"/>
      <c r="DO75" s="481"/>
      <c r="DP75" s="481"/>
    </row>
    <row r="76" spans="1:121" ht="15.75" customHeight="1" thickBot="1" x14ac:dyDescent="0.3">
      <c r="A76" s="110"/>
      <c r="B76" s="330"/>
      <c r="C76" s="111"/>
      <c r="D76" s="111"/>
      <c r="E76" s="111"/>
      <c r="F76" s="396"/>
      <c r="G76" s="396"/>
      <c r="H76" s="396"/>
      <c r="I76" s="396"/>
      <c r="J76" s="396"/>
      <c r="K76" s="396"/>
      <c r="L76" s="396"/>
      <c r="M76" s="396"/>
      <c r="N76" s="396"/>
      <c r="O76" s="396"/>
      <c r="P76" s="396"/>
      <c r="Q76" s="396"/>
      <c r="R76" s="396"/>
      <c r="S76" s="396"/>
      <c r="T76" s="396"/>
      <c r="U76" s="396"/>
      <c r="V76" s="396"/>
      <c r="W76" s="396"/>
      <c r="X76" s="396"/>
      <c r="Y76" s="396"/>
      <c r="Z76" s="396"/>
      <c r="AA76" s="396"/>
      <c r="AB76" s="396"/>
      <c r="AC76" s="396"/>
      <c r="AD76" s="396"/>
      <c r="AE76" s="396"/>
      <c r="AF76" s="396"/>
      <c r="AG76" s="396"/>
      <c r="AH76" s="396"/>
      <c r="AI76" s="396"/>
      <c r="AJ76" s="396"/>
      <c r="AK76" s="396"/>
      <c r="AL76" s="396"/>
      <c r="AM76" s="396"/>
      <c r="AN76" s="396"/>
      <c r="AO76" s="396"/>
      <c r="AP76" s="396"/>
      <c r="AQ76" s="396"/>
      <c r="AR76" s="508"/>
      <c r="AS76" s="390">
        <f>SUM(AS70:AS75)</f>
        <v>649</v>
      </c>
      <c r="AT76" s="390">
        <f t="shared" ref="AT76:AV76" si="53">SUM(AT70:AT75)</f>
        <v>907</v>
      </c>
      <c r="AU76" s="390">
        <f t="shared" si="53"/>
        <v>375</v>
      </c>
      <c r="AV76" s="390">
        <f t="shared" si="53"/>
        <v>1931</v>
      </c>
      <c r="AW76" s="391">
        <f>SUM(AW70:AW75)</f>
        <v>697</v>
      </c>
      <c r="AX76" s="391">
        <f t="shared" ref="AX76:AZ76" si="54">SUM(AX70:AX75)</f>
        <v>957</v>
      </c>
      <c r="AY76" s="391">
        <f t="shared" si="54"/>
        <v>446</v>
      </c>
      <c r="AZ76" s="391">
        <f t="shared" si="54"/>
        <v>2100</v>
      </c>
      <c r="BA76" s="392">
        <f>AW76/AS76</f>
        <v>1.073959938366718</v>
      </c>
      <c r="BB76" s="392">
        <f>AX76/AT76</f>
        <v>1.0551267916207276</v>
      </c>
      <c r="BC76" s="392">
        <f t="shared" ref="BC76:BD76" si="55">AY76/AU76</f>
        <v>1.1893333333333334</v>
      </c>
      <c r="BD76" s="392">
        <f t="shared" si="55"/>
        <v>1.0875194199896427</v>
      </c>
      <c r="BE76" s="990"/>
      <c r="BF76" s="991"/>
      <c r="BG76" s="988"/>
      <c r="DD76" s="481"/>
      <c r="DE76" s="481"/>
      <c r="DF76" s="481"/>
      <c r="DG76" s="481"/>
      <c r="DH76" s="481"/>
      <c r="DI76" s="481"/>
      <c r="DJ76" s="481"/>
      <c r="DK76" s="481"/>
      <c r="DL76" s="481"/>
      <c r="DM76" s="481"/>
      <c r="DN76" s="481"/>
      <c r="DO76" s="481"/>
      <c r="DP76" s="481"/>
    </row>
    <row r="77" spans="1:121" ht="15.75" customHeight="1" thickBot="1" x14ac:dyDescent="0.3">
      <c r="A77" s="327"/>
      <c r="B77" s="326"/>
      <c r="C77" s="112"/>
      <c r="D77" s="112"/>
      <c r="E77" s="112"/>
      <c r="F77" s="509"/>
      <c r="G77" s="509"/>
      <c r="H77" s="509"/>
      <c r="I77" s="509"/>
      <c r="J77" s="509"/>
      <c r="K77" s="509"/>
      <c r="L77" s="509"/>
      <c r="M77" s="509"/>
      <c r="N77" s="509"/>
      <c r="O77" s="509"/>
      <c r="P77" s="509"/>
      <c r="Q77" s="509"/>
      <c r="R77" s="509"/>
      <c r="S77" s="509"/>
      <c r="T77" s="509"/>
      <c r="U77" s="509"/>
      <c r="V77" s="509"/>
      <c r="W77" s="509"/>
      <c r="X77" s="509"/>
      <c r="Y77" s="509"/>
      <c r="Z77" s="509"/>
      <c r="AA77" s="509"/>
      <c r="AB77" s="509"/>
      <c r="AC77" s="509"/>
      <c r="AD77" s="509"/>
      <c r="AE77" s="509"/>
      <c r="AF77" s="509"/>
      <c r="AG77" s="509"/>
      <c r="AH77" s="509"/>
      <c r="AI77" s="509"/>
      <c r="AJ77" s="509"/>
      <c r="AK77" s="509"/>
      <c r="AL77" s="509"/>
      <c r="AM77" s="509"/>
      <c r="AN77" s="509"/>
      <c r="AO77" s="509"/>
      <c r="AP77" s="509"/>
      <c r="AQ77" s="509"/>
      <c r="AR77" s="509"/>
      <c r="AS77" s="393"/>
      <c r="AT77" s="393"/>
      <c r="AU77" s="393"/>
      <c r="AV77" s="394"/>
      <c r="AW77" s="395"/>
      <c r="AX77" s="395"/>
      <c r="AY77" s="395"/>
      <c r="AZ77" s="396"/>
      <c r="BA77" s="113"/>
      <c r="BB77" s="113"/>
      <c r="BC77" s="113"/>
      <c r="BD77" s="114"/>
      <c r="BE77" s="480"/>
      <c r="BF77" s="480"/>
      <c r="DD77" s="481"/>
      <c r="DE77" s="481"/>
      <c r="DF77" s="481"/>
      <c r="DG77" s="481"/>
      <c r="DH77" s="481"/>
      <c r="DI77" s="481"/>
      <c r="DJ77" s="481"/>
      <c r="DK77" s="481"/>
      <c r="DL77" s="481"/>
      <c r="DM77" s="481"/>
      <c r="DN77" s="481"/>
      <c r="DO77" s="481"/>
      <c r="DP77" s="481"/>
    </row>
    <row r="78" spans="1:121" ht="19.5" customHeight="1" thickBot="1" x14ac:dyDescent="0.3">
      <c r="A78" s="849" t="s">
        <v>243</v>
      </c>
      <c r="B78" s="971" t="s">
        <v>313</v>
      </c>
      <c r="C78" s="972"/>
      <c r="D78" s="972"/>
      <c r="E78" s="973"/>
      <c r="F78" s="992">
        <f>F70+G70+H70+F72+G72+H72+F74+G74+H74</f>
        <v>13</v>
      </c>
      <c r="G78" s="993"/>
      <c r="H78" s="994"/>
      <c r="I78" s="992">
        <f>I70+J70+K70+I72+J72+K72+I74+J74+K74</f>
        <v>64</v>
      </c>
      <c r="J78" s="993"/>
      <c r="K78" s="994"/>
      <c r="L78" s="992">
        <f>L70+M70+N70+L72+M72+N72+L74+M74+N74</f>
        <v>23</v>
      </c>
      <c r="M78" s="993"/>
      <c r="N78" s="994"/>
      <c r="O78" s="992">
        <f>O70+P70+Q70+O72+P72+Q72+O74+P74+Q74</f>
        <v>351</v>
      </c>
      <c r="P78" s="993"/>
      <c r="Q78" s="994"/>
      <c r="R78" s="992">
        <f>R70+S70+T70+R72+S72+T72+R74+S74+T74</f>
        <v>740</v>
      </c>
      <c r="S78" s="993"/>
      <c r="T78" s="994"/>
      <c r="U78" s="992">
        <f>U70+V70+W70+U72+V72+W72+U74+V74+W74</f>
        <v>716</v>
      </c>
      <c r="V78" s="993"/>
      <c r="W78" s="994"/>
      <c r="X78" s="992">
        <f>X70+Y70+Z70+X72+Y72+Z72+X74+Y74+Z74</f>
        <v>5</v>
      </c>
      <c r="Y78" s="993"/>
      <c r="Z78" s="994"/>
      <c r="AA78" s="992">
        <f>AA70+AB70+AC70+AA72+AB72+AC72+AA74+AB74+AC74</f>
        <v>13</v>
      </c>
      <c r="AB78" s="993"/>
      <c r="AC78" s="994"/>
      <c r="AD78" s="992">
        <f>AD70+AE70+AF70+AD72+AE72+AF72+AD74+AE74+AF74</f>
        <v>6</v>
      </c>
      <c r="AE78" s="993"/>
      <c r="AF78" s="994"/>
      <c r="AG78" s="992">
        <f>AG70+AH70+AI70+AG72+AH72+AI72+AG74+AH74+AI74</f>
        <v>0</v>
      </c>
      <c r="AH78" s="993"/>
      <c r="AI78" s="994"/>
      <c r="AJ78" s="992">
        <f>AJ70+AK70+AL70+AJ72+AK72+AL72+AJ74+AK74+AL74</f>
        <v>0</v>
      </c>
      <c r="AK78" s="993"/>
      <c r="AL78" s="994"/>
      <c r="AM78" s="992">
        <f>AM70+AN70+AO70+AM72+AN72+AO72+AM74+AN74+AO74</f>
        <v>0</v>
      </c>
      <c r="AN78" s="993"/>
      <c r="AO78" s="994"/>
      <c r="AP78" s="992">
        <f>AP70+AQ70+AR70+AP72+AQ72+AR72+AP74+AQ74+AR74</f>
        <v>0</v>
      </c>
      <c r="AQ78" s="993"/>
      <c r="AR78" s="994"/>
      <c r="AS78" s="388" t="s">
        <v>232</v>
      </c>
      <c r="AT78" s="388" t="s">
        <v>233</v>
      </c>
      <c r="AU78" s="388" t="s">
        <v>244</v>
      </c>
      <c r="AV78" s="546"/>
      <c r="AW78" s="109" t="s">
        <v>232</v>
      </c>
      <c r="AX78" s="109" t="s">
        <v>233</v>
      </c>
      <c r="AY78" s="109" t="s">
        <v>234</v>
      </c>
      <c r="AZ78" s="546"/>
      <c r="BA78" s="389" t="s">
        <v>232</v>
      </c>
      <c r="BB78" s="389" t="s">
        <v>233</v>
      </c>
      <c r="BC78" s="389" t="s">
        <v>234</v>
      </c>
      <c r="BD78" s="511"/>
      <c r="BF78" s="480"/>
      <c r="DP78" s="481"/>
    </row>
    <row r="79" spans="1:121" ht="19.5" customHeight="1" thickBot="1" x14ac:dyDescent="0.3">
      <c r="A79" s="850"/>
      <c r="B79" s="780" t="s">
        <v>314</v>
      </c>
      <c r="C79" s="781"/>
      <c r="D79" s="781"/>
      <c r="E79" s="782"/>
      <c r="F79" s="995">
        <f>F71+G71+H71+F73+G73+H73+F75+G75+H75</f>
        <v>0</v>
      </c>
      <c r="G79" s="996"/>
      <c r="H79" s="997"/>
      <c r="I79" s="995">
        <f>I71+J71+K71+I73+J73+K73+I75+J75+K75</f>
        <v>0</v>
      </c>
      <c r="J79" s="996"/>
      <c r="K79" s="997"/>
      <c r="L79" s="995">
        <f>L71+M71+N71+L73+M73+N73+L75+M75+N75</f>
        <v>0</v>
      </c>
      <c r="M79" s="996"/>
      <c r="N79" s="997"/>
      <c r="O79" s="995">
        <f>O71+P71+Q71+O73+P73+Q73+O75+P75+Q75</f>
        <v>370</v>
      </c>
      <c r="P79" s="996"/>
      <c r="Q79" s="997"/>
      <c r="R79" s="995">
        <f>R71+S71+T71+R73+S73+T73+R75+S75+T75</f>
        <v>730</v>
      </c>
      <c r="S79" s="996"/>
      <c r="T79" s="997"/>
      <c r="U79" s="995">
        <f>U71+V71+W71+U73+V73+W73+U75+V75+W75</f>
        <v>820</v>
      </c>
      <c r="V79" s="996"/>
      <c r="W79" s="997"/>
      <c r="X79" s="995">
        <f>X71+Y71+Z71+X73+Y73+Z73+X75+Y75+Z75</f>
        <v>0</v>
      </c>
      <c r="Y79" s="996"/>
      <c r="Z79" s="997"/>
      <c r="AA79" s="995">
        <f>AA71+AB71+AC71+AA73+AB73+AC73+AA75+AB75+AC75</f>
        <v>20</v>
      </c>
      <c r="AB79" s="996"/>
      <c r="AC79" s="997"/>
      <c r="AD79" s="995">
        <f>AD71+AE71+AF71+AD73+AE73+AF73+AD75+AE75+AF75</f>
        <v>20</v>
      </c>
      <c r="AE79" s="996"/>
      <c r="AF79" s="997"/>
      <c r="AG79" s="995">
        <f>AG71+AH71+AI71+AG73+AH73+AI73+AG75+AH75+AI75</f>
        <v>140</v>
      </c>
      <c r="AH79" s="996"/>
      <c r="AI79" s="997"/>
      <c r="AJ79" s="995">
        <f>AJ71+AK71+AL71+AJ73+AK73+AL73+AJ75+AK75+AL75</f>
        <v>0</v>
      </c>
      <c r="AK79" s="996"/>
      <c r="AL79" s="997"/>
      <c r="AM79" s="995">
        <f>AM71+AN71+AO71+AM73+AN73+AO73+AM75+AN75+AO75</f>
        <v>0</v>
      </c>
      <c r="AN79" s="996"/>
      <c r="AO79" s="997"/>
      <c r="AP79" s="995">
        <f>AP71+AQ71+AR71+AP73+AQ73+AR73+AP75+AQ75+AR75</f>
        <v>0</v>
      </c>
      <c r="AQ79" s="996"/>
      <c r="AR79" s="997"/>
      <c r="AS79" s="397">
        <f>F78+O78+X78+AJ78</f>
        <v>369</v>
      </c>
      <c r="AT79" s="397">
        <f>I78+R78+AA78+AM78</f>
        <v>817</v>
      </c>
      <c r="AU79" s="397">
        <f>L78+U78+AD78+AG78+AP78</f>
        <v>745</v>
      </c>
      <c r="AV79" s="398"/>
      <c r="AW79" s="399">
        <f>F79+O79+X79+AJ79</f>
        <v>370</v>
      </c>
      <c r="AX79" s="399">
        <f>I79+R79+AA79+AM79</f>
        <v>750</v>
      </c>
      <c r="AY79" s="399">
        <f>L79+U79+AD79+AG79+AP79</f>
        <v>980</v>
      </c>
      <c r="AZ79" s="398"/>
      <c r="BA79" s="400">
        <f>AW79/AS79</f>
        <v>1.0027100271002709</v>
      </c>
      <c r="BB79" s="400">
        <f>AX79/AT79</f>
        <v>0.91799265605875158</v>
      </c>
      <c r="BC79" s="400">
        <f>AY79/AU79</f>
        <v>1.3154362416107384</v>
      </c>
      <c r="BD79" s="115"/>
      <c r="BE79" s="480"/>
      <c r="BF79" s="480"/>
      <c r="DJ79" s="481"/>
      <c r="DK79" s="481"/>
      <c r="DL79" s="481"/>
      <c r="DM79" s="481"/>
      <c r="DN79" s="481"/>
      <c r="DO79" s="481"/>
      <c r="DP79" s="481"/>
    </row>
    <row r="80" spans="1:121" x14ac:dyDescent="0.25">
      <c r="E80" s="116"/>
      <c r="AO80" s="117"/>
      <c r="AP80" s="117"/>
      <c r="AQ80" s="117"/>
      <c r="BA80" s="480"/>
      <c r="BB80" s="480"/>
      <c r="BC80" s="480"/>
      <c r="BD80" s="480"/>
      <c r="BE80" s="480"/>
      <c r="BF80" s="480"/>
      <c r="DK80" s="481"/>
      <c r="DL80" s="481"/>
      <c r="DM80" s="481"/>
      <c r="DN80" s="481"/>
      <c r="DO80" s="481"/>
      <c r="DP80" s="481"/>
    </row>
    <row r="81" spans="1:121" x14ac:dyDescent="0.25">
      <c r="C81" s="116"/>
      <c r="D81" s="116"/>
      <c r="E81" s="116"/>
      <c r="BG81" s="116"/>
      <c r="DQ81" s="480"/>
    </row>
    <row r="82" spans="1:121" x14ac:dyDescent="0.25">
      <c r="C82" s="116"/>
      <c r="D82" s="116"/>
      <c r="E82" s="116"/>
      <c r="BG82" s="116"/>
      <c r="DQ82" s="480"/>
    </row>
    <row r="83" spans="1:121" x14ac:dyDescent="0.25">
      <c r="E83" s="116"/>
      <c r="AY83" s="480"/>
      <c r="AZ83" s="480"/>
      <c r="BA83" s="480"/>
      <c r="BB83" s="480"/>
      <c r="BC83" s="480"/>
      <c r="BD83" s="480"/>
      <c r="BE83" s="480"/>
      <c r="BF83" s="480"/>
      <c r="DI83" s="481"/>
      <c r="DJ83" s="481"/>
      <c r="DK83" s="481"/>
      <c r="DL83" s="481"/>
      <c r="DM83" s="481"/>
      <c r="DN83" s="481"/>
      <c r="DO83" s="481"/>
      <c r="DP83" s="481"/>
    </row>
    <row r="84" spans="1:121" ht="15.75" thickBot="1" x14ac:dyDescent="0.3">
      <c r="E84" s="116"/>
      <c r="AZ84" s="480"/>
      <c r="BA84" s="480"/>
      <c r="BB84" s="480"/>
      <c r="BC84" s="480"/>
      <c r="BD84" s="480"/>
      <c r="BE84" s="480"/>
      <c r="BF84" s="480"/>
      <c r="DJ84" s="481"/>
      <c r="DK84" s="481"/>
      <c r="DL84" s="481"/>
      <c r="DM84" s="481"/>
      <c r="DN84" s="481"/>
      <c r="DO84" s="481"/>
      <c r="DP84" s="481"/>
    </row>
    <row r="85" spans="1:121" ht="15.75" thickBot="1" x14ac:dyDescent="0.3">
      <c r="A85" s="792" t="s">
        <v>245</v>
      </c>
      <c r="B85" s="793"/>
      <c r="C85" s="793"/>
      <c r="D85" s="793"/>
      <c r="E85" s="793"/>
      <c r="F85" s="793"/>
      <c r="G85" s="793"/>
      <c r="H85" s="793"/>
      <c r="I85" s="793"/>
      <c r="J85" s="793"/>
      <c r="K85" s="793"/>
      <c r="L85" s="793"/>
      <c r="M85" s="799"/>
      <c r="AI85" s="506"/>
      <c r="AJ85" s="506"/>
      <c r="AK85" s="506"/>
      <c r="AL85" s="506"/>
      <c r="AM85" s="506"/>
      <c r="AN85" s="506"/>
      <c r="AO85" s="480"/>
      <c r="AP85" s="480"/>
      <c r="AQ85" s="480"/>
      <c r="AR85" s="480"/>
      <c r="AS85" s="480"/>
      <c r="AT85" s="480"/>
      <c r="AU85" s="480"/>
      <c r="AV85" s="480"/>
      <c r="AW85" s="480"/>
      <c r="AX85" s="480"/>
      <c r="AY85" s="480"/>
      <c r="AZ85" s="480"/>
      <c r="BA85" s="480"/>
      <c r="BB85" s="480"/>
      <c r="BC85" s="480"/>
      <c r="BD85" s="480"/>
      <c r="BE85" s="480"/>
      <c r="BF85" s="480"/>
      <c r="CS85" s="481"/>
      <c r="CT85" s="481"/>
      <c r="CU85" s="481"/>
      <c r="CV85" s="481"/>
      <c r="CW85" s="481"/>
      <c r="CX85" s="481"/>
      <c r="CY85" s="481"/>
      <c r="CZ85" s="481"/>
      <c r="DA85" s="481"/>
      <c r="DB85" s="481"/>
      <c r="DC85" s="481"/>
      <c r="DD85" s="481"/>
      <c r="DE85" s="481"/>
      <c r="DF85" s="481"/>
      <c r="DG85" s="481"/>
      <c r="DH85" s="481"/>
      <c r="DI85" s="481"/>
      <c r="DJ85" s="481"/>
      <c r="DK85" s="481"/>
      <c r="DL85" s="481"/>
      <c r="DM85" s="481"/>
      <c r="DN85" s="481"/>
      <c r="DO85" s="481"/>
      <c r="DP85" s="481"/>
    </row>
    <row r="86" spans="1:121" ht="101.25" customHeight="1" thickBot="1" x14ac:dyDescent="0.3">
      <c r="A86" s="842" t="s">
        <v>82</v>
      </c>
      <c r="B86" s="765"/>
      <c r="C86" s="325"/>
      <c r="D86" s="325"/>
      <c r="E86" s="325"/>
      <c r="F86" s="324" t="s">
        <v>246</v>
      </c>
      <c r="G86" s="324" t="s">
        <v>247</v>
      </c>
      <c r="H86" s="324" t="s">
        <v>51</v>
      </c>
      <c r="I86" s="118" t="s">
        <v>248</v>
      </c>
      <c r="J86" s="119" t="s">
        <v>249</v>
      </c>
      <c r="K86" s="401" t="s">
        <v>315</v>
      </c>
      <c r="L86" s="120" t="s">
        <v>316</v>
      </c>
      <c r="M86" s="401" t="s">
        <v>304</v>
      </c>
      <c r="AO86" s="506"/>
      <c r="AP86" s="506"/>
      <c r="AQ86" s="506"/>
      <c r="AR86" s="506"/>
      <c r="AS86" s="506"/>
      <c r="AT86" s="506"/>
      <c r="AU86" s="480"/>
      <c r="AV86" s="480"/>
      <c r="AW86" s="480"/>
      <c r="AX86" s="480"/>
      <c r="AY86" s="480"/>
      <c r="AZ86" s="480"/>
      <c r="BA86" s="480"/>
      <c r="BB86" s="480"/>
      <c r="BC86" s="480"/>
      <c r="BD86" s="480"/>
      <c r="BE86" s="480"/>
      <c r="BF86" s="480"/>
      <c r="CY86" s="481"/>
      <c r="CZ86" s="481"/>
      <c r="DA86" s="481"/>
      <c r="DB86" s="481"/>
      <c r="DC86" s="481"/>
      <c r="DD86" s="481"/>
      <c r="DE86" s="481"/>
      <c r="DF86" s="481"/>
      <c r="DG86" s="481"/>
      <c r="DH86" s="481"/>
      <c r="DI86" s="481"/>
      <c r="DJ86" s="481"/>
      <c r="DK86" s="481"/>
      <c r="DL86" s="481"/>
      <c r="DM86" s="481"/>
      <c r="DN86" s="481"/>
      <c r="DO86" s="481"/>
      <c r="DP86" s="481"/>
    </row>
    <row r="87" spans="1:121" ht="15.75" customHeight="1" thickBot="1" x14ac:dyDescent="0.3">
      <c r="A87" s="843" t="s">
        <v>76</v>
      </c>
      <c r="B87" s="847" t="s">
        <v>158</v>
      </c>
      <c r="C87" s="998" t="s">
        <v>302</v>
      </c>
      <c r="D87" s="999"/>
      <c r="E87" s="1000"/>
      <c r="F87" s="547"/>
      <c r="G87" s="547">
        <v>481</v>
      </c>
      <c r="H87" s="547"/>
      <c r="I87" s="548"/>
      <c r="J87" s="548"/>
      <c r="K87" s="1001">
        <f>SUM(F87:J87)</f>
        <v>481</v>
      </c>
      <c r="L87" s="1003">
        <f>SUM(F88:J88)</f>
        <v>392</v>
      </c>
      <c r="M87" s="1005">
        <f>L87/K87</f>
        <v>0.81496881496881501</v>
      </c>
      <c r="N87" s="481"/>
      <c r="O87" s="481"/>
      <c r="V87" s="481"/>
      <c r="W87" s="481"/>
      <c r="X87" s="481"/>
      <c r="Y87" s="481"/>
      <c r="Z87" s="481"/>
      <c r="AA87" s="481"/>
      <c r="AB87" s="481"/>
      <c r="AC87" s="481"/>
      <c r="AO87" s="506"/>
      <c r="AP87" s="506"/>
      <c r="AQ87" s="506"/>
      <c r="AR87" s="506"/>
      <c r="AS87" s="506"/>
      <c r="AT87" s="506"/>
      <c r="AU87" s="480"/>
      <c r="AV87" s="480"/>
      <c r="AW87" s="480"/>
      <c r="AX87" s="480"/>
      <c r="AY87" s="480"/>
      <c r="AZ87" s="480"/>
      <c r="BA87" s="480"/>
      <c r="BB87" s="480"/>
      <c r="BC87" s="480"/>
      <c r="BD87" s="480"/>
      <c r="BE87" s="480"/>
      <c r="BF87" s="480"/>
      <c r="CY87" s="481"/>
      <c r="CZ87" s="481"/>
      <c r="DA87" s="481"/>
      <c r="DB87" s="481"/>
      <c r="DC87" s="481"/>
      <c r="DD87" s="481"/>
      <c r="DE87" s="481"/>
      <c r="DF87" s="481"/>
      <c r="DG87" s="481"/>
      <c r="DH87" s="481"/>
      <c r="DI87" s="481"/>
      <c r="DJ87" s="481"/>
      <c r="DK87" s="481"/>
      <c r="DL87" s="481"/>
      <c r="DM87" s="481"/>
      <c r="DN87" s="481"/>
      <c r="DO87" s="481"/>
      <c r="DP87" s="481"/>
    </row>
    <row r="88" spans="1:121" ht="15.75" customHeight="1" thickBot="1" x14ac:dyDescent="0.3">
      <c r="A88" s="844"/>
      <c r="B88" s="848"/>
      <c r="C88" s="1007" t="s">
        <v>44</v>
      </c>
      <c r="D88" s="1008"/>
      <c r="E88" s="1009"/>
      <c r="F88" s="549"/>
      <c r="G88" s="549">
        <v>392</v>
      </c>
      <c r="H88" s="549"/>
      <c r="I88" s="312"/>
      <c r="J88" s="312"/>
      <c r="K88" s="1002"/>
      <c r="L88" s="1004"/>
      <c r="M88" s="1006"/>
      <c r="N88" s="481"/>
      <c r="O88" s="481"/>
      <c r="V88" s="481"/>
      <c r="W88" s="481"/>
      <c r="X88" s="481"/>
      <c r="Y88" s="481"/>
      <c r="Z88" s="481"/>
      <c r="AA88" s="481"/>
      <c r="AB88" s="481"/>
      <c r="AC88" s="481"/>
      <c r="AO88" s="506"/>
      <c r="AP88" s="506"/>
      <c r="AQ88" s="506"/>
      <c r="AR88" s="506"/>
      <c r="AS88" s="506"/>
      <c r="AT88" s="506"/>
      <c r="AU88" s="480"/>
      <c r="AV88" s="480"/>
      <c r="AW88" s="480"/>
      <c r="AX88" s="480"/>
      <c r="AY88" s="480"/>
      <c r="AZ88" s="480"/>
      <c r="BA88" s="480"/>
      <c r="BB88" s="480"/>
      <c r="BC88" s="480"/>
      <c r="BD88" s="480"/>
      <c r="BE88" s="480"/>
      <c r="BF88" s="480"/>
      <c r="CY88" s="481"/>
      <c r="CZ88" s="481"/>
      <c r="DA88" s="481"/>
      <c r="DB88" s="481"/>
      <c r="DC88" s="481"/>
      <c r="DD88" s="481"/>
      <c r="DE88" s="481"/>
      <c r="DF88" s="481"/>
      <c r="DG88" s="481"/>
      <c r="DH88" s="481"/>
      <c r="DI88" s="481"/>
      <c r="DJ88" s="481"/>
      <c r="DK88" s="481"/>
      <c r="DL88" s="481"/>
      <c r="DM88" s="481"/>
      <c r="DN88" s="481"/>
      <c r="DO88" s="481"/>
      <c r="DP88" s="481"/>
    </row>
    <row r="89" spans="1:121" ht="15.75" customHeight="1" thickBot="1" x14ac:dyDescent="0.3">
      <c r="A89" s="845"/>
      <c r="B89" s="828" t="s">
        <v>156</v>
      </c>
      <c r="C89" s="998" t="s">
        <v>317</v>
      </c>
      <c r="D89" s="999"/>
      <c r="E89" s="1000"/>
      <c r="F89" s="547"/>
      <c r="G89" s="547">
        <v>36</v>
      </c>
      <c r="H89" s="547"/>
      <c r="I89" s="548"/>
      <c r="J89" s="548"/>
      <c r="K89" s="1001">
        <f>SUM(F89:J89)</f>
        <v>36</v>
      </c>
      <c r="L89" s="1003">
        <f>SUM(F90:J90)</f>
        <v>35</v>
      </c>
      <c r="M89" s="1005">
        <f>L89/K89</f>
        <v>0.97222222222222221</v>
      </c>
      <c r="N89" s="481"/>
      <c r="O89" s="481"/>
      <c r="V89" s="481"/>
      <c r="W89" s="481"/>
      <c r="X89" s="481"/>
      <c r="Y89" s="481"/>
      <c r="Z89" s="481"/>
      <c r="AA89" s="481"/>
      <c r="AB89" s="481"/>
      <c r="AC89" s="481"/>
      <c r="AO89" s="506"/>
      <c r="AP89" s="506"/>
      <c r="AQ89" s="506"/>
      <c r="AR89" s="506"/>
      <c r="AS89" s="506"/>
      <c r="AT89" s="506"/>
      <c r="AU89" s="480"/>
      <c r="AV89" s="480"/>
      <c r="AW89" s="480"/>
      <c r="AX89" s="480"/>
      <c r="AY89" s="480"/>
      <c r="AZ89" s="480"/>
      <c r="BA89" s="480"/>
      <c r="BB89" s="480"/>
      <c r="BC89" s="480"/>
      <c r="BD89" s="480"/>
      <c r="BE89" s="480"/>
      <c r="BF89" s="480"/>
      <c r="CY89" s="481"/>
      <c r="CZ89" s="481"/>
      <c r="DA89" s="481"/>
      <c r="DB89" s="481"/>
      <c r="DC89" s="481"/>
      <c r="DD89" s="481"/>
      <c r="DE89" s="481"/>
      <c r="DF89" s="481"/>
      <c r="DG89" s="481"/>
      <c r="DH89" s="481"/>
      <c r="DI89" s="481"/>
      <c r="DJ89" s="481"/>
      <c r="DK89" s="481"/>
      <c r="DL89" s="481"/>
      <c r="DM89" s="481"/>
      <c r="DN89" s="481"/>
      <c r="DO89" s="481"/>
      <c r="DP89" s="481"/>
    </row>
    <row r="90" spans="1:121" ht="16.5" customHeight="1" thickBot="1" x14ac:dyDescent="0.3">
      <c r="A90" s="846"/>
      <c r="B90" s="829"/>
      <c r="C90" s="1007" t="s">
        <v>318</v>
      </c>
      <c r="D90" s="1008"/>
      <c r="E90" s="1009"/>
      <c r="F90" s="549"/>
      <c r="G90" s="549">
        <v>35</v>
      </c>
      <c r="H90" s="549"/>
      <c r="I90" s="312"/>
      <c r="J90" s="312"/>
      <c r="K90" s="1002"/>
      <c r="L90" s="1004"/>
      <c r="M90" s="1006"/>
      <c r="N90" s="481"/>
      <c r="O90" s="481"/>
      <c r="P90" s="481"/>
      <c r="Q90" s="481"/>
      <c r="R90" s="481"/>
      <c r="S90" s="481"/>
      <c r="T90" s="481"/>
      <c r="U90" s="481"/>
      <c r="V90" s="481"/>
      <c r="W90" s="481"/>
      <c r="X90" s="481"/>
      <c r="Y90" s="481"/>
      <c r="Z90" s="481"/>
      <c r="AA90" s="481"/>
      <c r="AM90" s="506"/>
      <c r="AN90" s="506"/>
      <c r="AO90" s="506"/>
      <c r="AP90" s="506"/>
      <c r="AQ90" s="506"/>
      <c r="AR90" s="506"/>
      <c r="AS90" s="480"/>
      <c r="AT90" s="480"/>
      <c r="AU90" s="480"/>
      <c r="AV90" s="480"/>
      <c r="AW90" s="480"/>
      <c r="AX90" s="480"/>
      <c r="AY90" s="480"/>
      <c r="AZ90" s="480"/>
      <c r="BA90" s="480"/>
      <c r="BB90" s="480"/>
      <c r="BC90" s="480"/>
      <c r="BD90" s="480"/>
      <c r="BE90" s="480"/>
      <c r="BF90" s="480"/>
      <c r="CW90" s="481"/>
      <c r="CX90" s="481"/>
      <c r="CY90" s="481"/>
      <c r="CZ90" s="481"/>
      <c r="DA90" s="481"/>
      <c r="DB90" s="481"/>
      <c r="DC90" s="481"/>
      <c r="DD90" s="481"/>
      <c r="DE90" s="481"/>
      <c r="DF90" s="481"/>
      <c r="DG90" s="481"/>
      <c r="DH90" s="481"/>
      <c r="DI90" s="481"/>
      <c r="DJ90" s="481"/>
      <c r="DK90" s="481"/>
      <c r="DL90" s="481"/>
      <c r="DM90" s="481"/>
      <c r="DN90" s="481"/>
      <c r="DO90" s="481"/>
      <c r="DP90" s="481"/>
    </row>
    <row r="91" spans="1:121" ht="16.5" thickBot="1" x14ac:dyDescent="0.3">
      <c r="A91" s="1011" t="s">
        <v>250</v>
      </c>
      <c r="B91" s="1012"/>
      <c r="C91" s="1013"/>
      <c r="D91" s="1013"/>
      <c r="E91" s="1013"/>
      <c r="F91" s="1013"/>
      <c r="G91" s="1013"/>
      <c r="H91" s="1013"/>
      <c r="I91" s="1013"/>
      <c r="J91" s="1014"/>
      <c r="K91" s="402">
        <f>SUM(K87:K90)</f>
        <v>517</v>
      </c>
      <c r="L91" s="402">
        <f>SUM(L87:L90)</f>
        <v>427</v>
      </c>
      <c r="M91" s="403">
        <f>L91/K91</f>
        <v>0.82591876208897486</v>
      </c>
      <c r="N91" s="481"/>
      <c r="O91" s="481"/>
      <c r="P91" s="481"/>
      <c r="Q91" s="481"/>
      <c r="R91" s="481"/>
      <c r="S91" s="481"/>
      <c r="T91" s="481"/>
      <c r="U91" s="481"/>
      <c r="V91" s="481"/>
      <c r="W91" s="481"/>
      <c r="X91" s="481"/>
      <c r="Y91" s="481"/>
      <c r="Z91" s="481"/>
      <c r="AA91" s="481"/>
      <c r="AN91" s="506"/>
      <c r="AO91" s="506"/>
      <c r="AP91" s="506"/>
      <c r="AQ91" s="506"/>
      <c r="AR91" s="506"/>
      <c r="AS91" s="480"/>
      <c r="AT91" s="480"/>
      <c r="AU91" s="480"/>
      <c r="AV91" s="480"/>
      <c r="AW91" s="480"/>
      <c r="AX91" s="480"/>
      <c r="AY91" s="480"/>
      <c r="AZ91" s="480"/>
      <c r="BA91" s="480"/>
      <c r="BB91" s="480"/>
      <c r="BC91" s="480"/>
      <c r="BD91" s="480"/>
      <c r="BE91" s="480"/>
      <c r="BF91" s="480"/>
      <c r="CX91" s="481"/>
      <c r="CY91" s="481"/>
      <c r="CZ91" s="481"/>
      <c r="DA91" s="481"/>
      <c r="DB91" s="481"/>
      <c r="DC91" s="481"/>
      <c r="DD91" s="481"/>
      <c r="DE91" s="481"/>
      <c r="DF91" s="481"/>
      <c r="DG91" s="481"/>
      <c r="DH91" s="481"/>
      <c r="DI91" s="481"/>
      <c r="DJ91" s="481"/>
      <c r="DK91" s="481"/>
      <c r="DL91" s="481"/>
      <c r="DM91" s="481"/>
      <c r="DN91" s="481"/>
      <c r="DO91" s="481"/>
      <c r="DP91" s="481"/>
    </row>
    <row r="92" spans="1:121" x14ac:dyDescent="0.25">
      <c r="E92" s="116"/>
      <c r="AZ92" s="480"/>
      <c r="BA92" s="480"/>
      <c r="BB92" s="480"/>
      <c r="BC92" s="480"/>
      <c r="BD92" s="480"/>
      <c r="BE92" s="480"/>
      <c r="BF92" s="480"/>
      <c r="DJ92" s="481"/>
      <c r="DK92" s="481"/>
      <c r="DL92" s="481"/>
      <c r="DM92" s="481"/>
      <c r="DN92" s="481"/>
      <c r="DO92" s="481"/>
      <c r="DP92" s="481"/>
    </row>
    <row r="93" spans="1:121" x14ac:dyDescent="0.25">
      <c r="E93" s="116"/>
      <c r="AZ93" s="480"/>
      <c r="BA93" s="480"/>
      <c r="BB93" s="480"/>
      <c r="BC93" s="480"/>
      <c r="BD93" s="480"/>
      <c r="BE93" s="480"/>
      <c r="BF93" s="480"/>
      <c r="DJ93" s="481"/>
      <c r="DK93" s="481"/>
      <c r="DL93" s="481"/>
      <c r="DM93" s="481"/>
      <c r="DN93" s="481"/>
      <c r="DO93" s="481"/>
      <c r="DP93" s="481"/>
    </row>
    <row r="94" spans="1:121" ht="15.75" thickBot="1" x14ac:dyDescent="0.3">
      <c r="C94" s="116"/>
      <c r="E94" s="116"/>
      <c r="BF94" s="480"/>
      <c r="DP94" s="481"/>
    </row>
    <row r="95" spans="1:121" ht="16.5" customHeight="1" thickBot="1" x14ac:dyDescent="0.3">
      <c r="A95" s="792" t="s">
        <v>251</v>
      </c>
      <c r="B95" s="793"/>
      <c r="C95" s="793"/>
      <c r="D95" s="793"/>
      <c r="E95" s="793"/>
      <c r="F95" s="793"/>
      <c r="G95" s="793"/>
      <c r="H95" s="793"/>
      <c r="I95" s="793"/>
      <c r="J95" s="793"/>
      <c r="K95" s="793"/>
      <c r="L95" s="793"/>
      <c r="M95" s="799"/>
    </row>
    <row r="96" spans="1:121" ht="92.25" customHeight="1" thickBot="1" x14ac:dyDescent="0.3">
      <c r="A96" s="859" t="s">
        <v>82</v>
      </c>
      <c r="B96" s="860"/>
      <c r="C96" s="328"/>
      <c r="D96" s="328"/>
      <c r="E96" s="328"/>
      <c r="F96" s="118" t="s">
        <v>252</v>
      </c>
      <c r="G96" s="118" t="s">
        <v>253</v>
      </c>
      <c r="H96" s="118" t="s">
        <v>254</v>
      </c>
      <c r="I96" s="118" t="s">
        <v>255</v>
      </c>
      <c r="J96" s="119" t="s">
        <v>249</v>
      </c>
      <c r="K96" s="401" t="s">
        <v>315</v>
      </c>
      <c r="L96" s="120" t="s">
        <v>316</v>
      </c>
      <c r="M96" s="401" t="s">
        <v>304</v>
      </c>
    </row>
    <row r="97" spans="1:120" ht="15.75" customHeight="1" thickBot="1" x14ac:dyDescent="0.3">
      <c r="A97" s="843" t="s">
        <v>76</v>
      </c>
      <c r="B97" s="847" t="s">
        <v>158</v>
      </c>
      <c r="C97" s="998" t="s">
        <v>302</v>
      </c>
      <c r="D97" s="999"/>
      <c r="E97" s="1000"/>
      <c r="F97" s="547"/>
      <c r="G97" s="547">
        <v>1376</v>
      </c>
      <c r="H97" s="547"/>
      <c r="I97" s="548"/>
      <c r="J97" s="548"/>
      <c r="K97" s="1001">
        <f>SUM(F97:J97)</f>
        <v>1376</v>
      </c>
      <c r="L97" s="1003">
        <f>SUM(F98:J98)</f>
        <v>1176</v>
      </c>
      <c r="M97" s="1010">
        <f>L97/K97</f>
        <v>0.85465116279069764</v>
      </c>
    </row>
    <row r="98" spans="1:120" ht="15.75" customHeight="1" thickBot="1" x14ac:dyDescent="0.3">
      <c r="A98" s="844"/>
      <c r="B98" s="848"/>
      <c r="C98" s="1007" t="s">
        <v>44</v>
      </c>
      <c r="D98" s="1008"/>
      <c r="E98" s="1009"/>
      <c r="F98" s="549"/>
      <c r="G98" s="549">
        <v>1176</v>
      </c>
      <c r="H98" s="549"/>
      <c r="I98" s="312"/>
      <c r="J98" s="312"/>
      <c r="K98" s="1002"/>
      <c r="L98" s="1004"/>
      <c r="M98" s="1006"/>
    </row>
    <row r="99" spans="1:120" ht="15.75" customHeight="1" thickBot="1" x14ac:dyDescent="0.3">
      <c r="A99" s="845"/>
      <c r="B99" s="828" t="s">
        <v>156</v>
      </c>
      <c r="C99" s="998" t="s">
        <v>317</v>
      </c>
      <c r="D99" s="999"/>
      <c r="E99" s="1000"/>
      <c r="F99" s="547"/>
      <c r="G99" s="547">
        <v>375</v>
      </c>
      <c r="H99" s="547"/>
      <c r="I99" s="548"/>
      <c r="J99" s="548"/>
      <c r="K99" s="1001">
        <f>SUM(F99:J99)</f>
        <v>375</v>
      </c>
      <c r="L99" s="1003">
        <f>SUM(F100:J100)</f>
        <v>381</v>
      </c>
      <c r="M99" s="1010">
        <f>L99/K99</f>
        <v>1.016</v>
      </c>
    </row>
    <row r="100" spans="1:120" ht="15.75" customHeight="1" thickBot="1" x14ac:dyDescent="0.3">
      <c r="A100" s="846"/>
      <c r="B100" s="829"/>
      <c r="C100" s="1007" t="s">
        <v>318</v>
      </c>
      <c r="D100" s="1008"/>
      <c r="E100" s="1009"/>
      <c r="F100" s="549"/>
      <c r="G100" s="549">
        <v>381</v>
      </c>
      <c r="H100" s="549"/>
      <c r="I100" s="312"/>
      <c r="J100" s="312"/>
      <c r="K100" s="1002"/>
      <c r="L100" s="1004"/>
      <c r="M100" s="1006"/>
    </row>
    <row r="101" spans="1:120" ht="15.75" thickBot="1" x14ac:dyDescent="0.3">
      <c r="A101" s="1015" t="s">
        <v>256</v>
      </c>
      <c r="B101" s="1016"/>
      <c r="C101" s="1017"/>
      <c r="D101" s="1017"/>
      <c r="E101" s="1017"/>
      <c r="F101" s="1017"/>
      <c r="G101" s="1017"/>
      <c r="H101" s="1017"/>
      <c r="I101" s="1017"/>
      <c r="J101" s="1018"/>
      <c r="K101" s="402">
        <f>SUM(K97:K100)</f>
        <v>1751</v>
      </c>
      <c r="L101" s="402">
        <f>SUM(L97:L100)</f>
        <v>1557</v>
      </c>
      <c r="M101" s="404">
        <f>L101/K101</f>
        <v>0.88920616790405482</v>
      </c>
    </row>
    <row r="105" spans="1:120" x14ac:dyDescent="0.25">
      <c r="A105" s="702" t="s">
        <v>319</v>
      </c>
      <c r="B105" s="888"/>
      <c r="C105" s="888"/>
      <c r="D105" s="888"/>
      <c r="E105" s="888"/>
      <c r="F105" s="888"/>
      <c r="G105" s="888"/>
      <c r="H105" s="888"/>
      <c r="I105" s="888"/>
      <c r="J105" s="888"/>
      <c r="K105" s="888"/>
      <c r="L105" s="888"/>
      <c r="M105" s="888"/>
      <c r="N105" s="888"/>
      <c r="O105" s="888"/>
      <c r="P105" s="888"/>
      <c r="Q105" s="888"/>
      <c r="R105" s="888"/>
      <c r="S105" s="888"/>
      <c r="T105" s="888"/>
      <c r="U105" s="888"/>
      <c r="V105" s="888"/>
      <c r="W105" s="889"/>
      <c r="X105"/>
      <c r="Y105"/>
      <c r="Z105"/>
      <c r="AA105"/>
      <c r="AB105"/>
      <c r="AC105"/>
      <c r="AD105"/>
      <c r="AE105"/>
      <c r="AF105"/>
      <c r="AG105"/>
      <c r="AX105" s="480"/>
      <c r="AY105" s="480"/>
      <c r="AZ105" s="480"/>
      <c r="BA105" s="480"/>
      <c r="BB105" s="480"/>
      <c r="BC105" s="480"/>
      <c r="BD105" s="480"/>
      <c r="BE105" s="480"/>
      <c r="BF105" s="480"/>
      <c r="DH105" s="481"/>
      <c r="DI105" s="481"/>
      <c r="DJ105" s="481"/>
      <c r="DK105" s="481"/>
      <c r="DL105" s="481"/>
      <c r="DM105" s="481"/>
      <c r="DN105" s="481"/>
      <c r="DO105" s="481"/>
      <c r="DP105" s="481"/>
    </row>
    <row r="106" spans="1:120" ht="15.75" thickBot="1" x14ac:dyDescent="0.3">
      <c r="BE106" s="480"/>
      <c r="BF106" s="480"/>
      <c r="DO106" s="481"/>
      <c r="DP106" s="481"/>
    </row>
    <row r="107" spans="1:120" s="488" customFormat="1" ht="61.5" customHeight="1" x14ac:dyDescent="0.25">
      <c r="A107" s="925" t="s">
        <v>178</v>
      </c>
      <c r="B107" s="866"/>
      <c r="C107" s="711" t="s">
        <v>320</v>
      </c>
      <c r="D107" s="712"/>
      <c r="E107" s="713"/>
      <c r="F107" s="927" t="s">
        <v>303</v>
      </c>
      <c r="G107" s="928"/>
      <c r="H107" s="1019"/>
      <c r="I107" s="1020" t="s">
        <v>321</v>
      </c>
      <c r="J107" s="930" t="s">
        <v>182</v>
      </c>
      <c r="K107" s="931"/>
      <c r="L107" s="932" t="s">
        <v>183</v>
      </c>
      <c r="M107" s="933"/>
      <c r="N107" s="934" t="s">
        <v>184</v>
      </c>
      <c r="O107" s="935"/>
      <c r="P107" s="936" t="s">
        <v>185</v>
      </c>
      <c r="Q107" s="937"/>
      <c r="R107" s="948" t="s">
        <v>186</v>
      </c>
      <c r="S107" s="949"/>
      <c r="T107" s="950" t="s">
        <v>187</v>
      </c>
      <c r="U107" s="951"/>
      <c r="V107" s="952" t="s">
        <v>188</v>
      </c>
      <c r="W107" s="953"/>
      <c r="X107" s="954" t="s">
        <v>189</v>
      </c>
      <c r="Y107" s="955"/>
      <c r="Z107" s="116"/>
      <c r="AA107" s="487"/>
      <c r="AB107" s="487"/>
      <c r="AC107" s="487"/>
      <c r="AD107" s="487"/>
      <c r="AE107" s="487"/>
      <c r="AF107" s="487"/>
      <c r="AG107" s="487"/>
      <c r="AH107" s="487"/>
      <c r="AI107" s="487"/>
      <c r="AJ107" s="487"/>
      <c r="AK107" s="487"/>
      <c r="AL107" s="487"/>
      <c r="AM107" s="487"/>
      <c r="AN107" s="487"/>
      <c r="AO107" s="487"/>
      <c r="AP107" s="487"/>
      <c r="AQ107" s="487"/>
      <c r="AR107" s="487"/>
      <c r="AS107" s="487"/>
      <c r="AT107" s="487"/>
      <c r="AU107" s="487"/>
      <c r="AV107" s="487"/>
      <c r="AW107" s="487"/>
      <c r="AX107" s="487"/>
      <c r="AY107" s="487"/>
      <c r="AZ107" s="487"/>
      <c r="BA107" s="487"/>
      <c r="BB107" s="487"/>
      <c r="BC107" s="487"/>
      <c r="BD107" s="487"/>
      <c r="BE107" s="487"/>
      <c r="BF107" s="487"/>
      <c r="BG107" s="487"/>
      <c r="BH107" s="487"/>
      <c r="BI107" s="487"/>
      <c r="BJ107" s="487"/>
      <c r="BK107" s="487"/>
      <c r="BL107" s="487"/>
      <c r="BM107" s="487"/>
      <c r="BN107" s="487"/>
      <c r="BO107" s="487"/>
      <c r="BP107" s="487"/>
      <c r="BQ107" s="487"/>
      <c r="BR107" s="487"/>
      <c r="BS107" s="487"/>
      <c r="BT107" s="487"/>
      <c r="BU107" s="487"/>
      <c r="BV107" s="487"/>
    </row>
    <row r="108" spans="1:120" s="488" customFormat="1" ht="15.75" customHeight="1" x14ac:dyDescent="0.25">
      <c r="A108" s="926"/>
      <c r="B108" s="868"/>
      <c r="C108" s="719" t="s">
        <v>192</v>
      </c>
      <c r="D108" s="728"/>
      <c r="E108" s="729"/>
      <c r="F108" s="956" t="s">
        <v>192</v>
      </c>
      <c r="G108" s="957"/>
      <c r="H108" s="1023"/>
      <c r="I108" s="1021"/>
      <c r="J108" s="961" t="s">
        <v>192</v>
      </c>
      <c r="K108" s="962"/>
      <c r="L108" s="963" t="s">
        <v>192</v>
      </c>
      <c r="M108" s="964"/>
      <c r="N108" s="965" t="s">
        <v>192</v>
      </c>
      <c r="O108" s="966"/>
      <c r="P108" s="938" t="s">
        <v>192</v>
      </c>
      <c r="Q108" s="939"/>
      <c r="R108" s="940" t="s">
        <v>192</v>
      </c>
      <c r="S108" s="941"/>
      <c r="T108" s="942" t="s">
        <v>192</v>
      </c>
      <c r="U108" s="943"/>
      <c r="V108" s="944" t="s">
        <v>192</v>
      </c>
      <c r="W108" s="945"/>
      <c r="X108" s="946" t="s">
        <v>192</v>
      </c>
      <c r="Y108" s="947"/>
      <c r="Z108" s="116"/>
      <c r="AA108" s="487"/>
      <c r="AB108" s="487"/>
      <c r="AC108" s="487"/>
      <c r="AD108" s="487"/>
      <c r="AE108" s="487"/>
      <c r="AF108" s="487"/>
      <c r="AG108" s="487"/>
      <c r="AH108" s="487"/>
      <c r="AI108" s="487"/>
      <c r="AJ108" s="487"/>
      <c r="AK108" s="487"/>
      <c r="AL108" s="487"/>
      <c r="AM108" s="487"/>
      <c r="AN108" s="487"/>
      <c r="AO108" s="487"/>
      <c r="AP108" s="487"/>
      <c r="AQ108" s="487"/>
      <c r="AR108" s="487"/>
      <c r="AS108" s="487"/>
      <c r="AT108" s="487"/>
      <c r="AU108" s="487"/>
      <c r="AV108" s="487"/>
      <c r="AW108" s="487"/>
      <c r="AX108" s="487"/>
      <c r="AY108" s="487"/>
      <c r="AZ108" s="487"/>
      <c r="BA108" s="487"/>
      <c r="BB108" s="487"/>
      <c r="BC108" s="487"/>
      <c r="BD108" s="487"/>
      <c r="BE108" s="487"/>
      <c r="BF108" s="487"/>
      <c r="BG108" s="487"/>
      <c r="BH108" s="487"/>
      <c r="BI108" s="487"/>
      <c r="BJ108" s="487"/>
      <c r="BK108" s="487"/>
      <c r="BL108" s="487"/>
      <c r="BM108" s="487"/>
      <c r="BN108" s="487"/>
      <c r="BO108" s="487"/>
      <c r="BP108" s="487"/>
      <c r="BQ108" s="487"/>
      <c r="BR108" s="487"/>
      <c r="BS108" s="487"/>
      <c r="BT108" s="487"/>
      <c r="BU108" s="487"/>
      <c r="BV108" s="487"/>
    </row>
    <row r="109" spans="1:120" s="488" customFormat="1" ht="15.75" thickBot="1" x14ac:dyDescent="0.3">
      <c r="A109" s="806"/>
      <c r="B109" s="807"/>
      <c r="C109" s="31" t="s">
        <v>158</v>
      </c>
      <c r="D109" s="179" t="s">
        <v>156</v>
      </c>
      <c r="E109" s="121" t="s">
        <v>193</v>
      </c>
      <c r="F109" s="334" t="s">
        <v>158</v>
      </c>
      <c r="G109" s="335" t="s">
        <v>156</v>
      </c>
      <c r="H109" s="333" t="s">
        <v>193</v>
      </c>
      <c r="I109" s="1022"/>
      <c r="J109" s="337" t="s">
        <v>158</v>
      </c>
      <c r="K109" s="338" t="s">
        <v>156</v>
      </c>
      <c r="L109" s="339" t="s">
        <v>158</v>
      </c>
      <c r="M109" s="340" t="s">
        <v>156</v>
      </c>
      <c r="N109" s="341" t="s">
        <v>158</v>
      </c>
      <c r="O109" s="342" t="s">
        <v>156</v>
      </c>
      <c r="P109" s="343" t="s">
        <v>158</v>
      </c>
      <c r="Q109" s="344" t="s">
        <v>156</v>
      </c>
      <c r="R109" s="345" t="s">
        <v>158</v>
      </c>
      <c r="S109" s="346" t="s">
        <v>156</v>
      </c>
      <c r="T109" s="347" t="s">
        <v>158</v>
      </c>
      <c r="U109" s="348" t="s">
        <v>156</v>
      </c>
      <c r="V109" s="349" t="s">
        <v>158</v>
      </c>
      <c r="W109" s="350" t="s">
        <v>156</v>
      </c>
      <c r="X109" s="351" t="s">
        <v>158</v>
      </c>
      <c r="Y109" s="352" t="s">
        <v>156</v>
      </c>
      <c r="Z109" s="116"/>
      <c r="AA109" s="487"/>
      <c r="AB109" s="487"/>
      <c r="AC109" s="487"/>
      <c r="AD109" s="487"/>
      <c r="AE109" s="487"/>
      <c r="AF109" s="487"/>
      <c r="AG109" s="487"/>
      <c r="AH109" s="487"/>
      <c r="AI109" s="487"/>
      <c r="AJ109" s="487"/>
      <c r="AK109" s="487"/>
      <c r="AL109" s="487"/>
      <c r="AM109" s="487"/>
      <c r="AN109" s="487"/>
      <c r="AO109" s="487"/>
      <c r="AP109" s="487"/>
      <c r="AQ109" s="487"/>
      <c r="AR109" s="487"/>
      <c r="AS109" s="487"/>
      <c r="AT109" s="487"/>
      <c r="AU109" s="487"/>
      <c r="AV109" s="487"/>
      <c r="AW109" s="487"/>
      <c r="AX109" s="487"/>
      <c r="AY109" s="487"/>
      <c r="AZ109" s="487"/>
      <c r="BA109" s="487"/>
      <c r="BB109" s="487"/>
      <c r="BC109" s="487"/>
      <c r="BD109" s="487"/>
      <c r="BE109" s="487"/>
      <c r="BF109" s="487"/>
      <c r="BG109" s="487"/>
      <c r="BH109" s="487"/>
      <c r="BI109" s="487"/>
      <c r="BJ109" s="487"/>
      <c r="BK109" s="487"/>
      <c r="BL109" s="487"/>
      <c r="BM109" s="487"/>
      <c r="BN109" s="487"/>
      <c r="BO109" s="487"/>
      <c r="BP109" s="487"/>
      <c r="BQ109" s="487"/>
      <c r="BR109" s="487"/>
      <c r="BS109" s="487"/>
      <c r="BT109" s="487"/>
      <c r="BU109" s="487"/>
      <c r="BV109" s="487"/>
    </row>
    <row r="110" spans="1:120" s="488" customFormat="1" ht="58.5" customHeight="1" thickBot="1" x14ac:dyDescent="0.3">
      <c r="A110" s="723" t="s">
        <v>195</v>
      </c>
      <c r="B110" s="724"/>
      <c r="C110" s="538"/>
      <c r="D110" s="538"/>
      <c r="E110" s="354">
        <f>SUM(C110:D110)</f>
        <v>0</v>
      </c>
      <c r="F110" s="355">
        <f>J110+L110+N110+P110</f>
        <v>2</v>
      </c>
      <c r="G110" s="355">
        <f>K110+M110+O110+Q110</f>
        <v>0</v>
      </c>
      <c r="H110" s="355">
        <f>SUM(F110:G110)</f>
        <v>2</v>
      </c>
      <c r="I110" s="405" t="e">
        <f>H110/E110*100</f>
        <v>#DIV/0!</v>
      </c>
      <c r="J110" s="490"/>
      <c r="K110" s="601"/>
      <c r="L110" s="491"/>
      <c r="M110" s="492"/>
      <c r="N110" s="493">
        <v>1</v>
      </c>
      <c r="O110" s="494"/>
      <c r="P110" s="491">
        <v>1</v>
      </c>
      <c r="Q110" s="492"/>
      <c r="R110" s="38"/>
      <c r="S110" s="39"/>
      <c r="T110" s="38"/>
      <c r="U110" s="39"/>
      <c r="V110" s="38"/>
      <c r="W110" s="40"/>
      <c r="X110" s="38"/>
      <c r="Y110" s="41"/>
      <c r="Z110" s="116"/>
      <c r="AA110" s="487"/>
      <c r="AB110" s="487"/>
      <c r="AC110" s="487"/>
      <c r="AD110" s="487"/>
      <c r="AE110" s="487"/>
      <c r="AF110" s="487"/>
      <c r="AG110" s="487"/>
      <c r="AH110" s="487"/>
      <c r="AI110" s="487"/>
      <c r="AJ110" s="487"/>
      <c r="AK110" s="487"/>
      <c r="AL110" s="487"/>
      <c r="AM110" s="487"/>
      <c r="AN110" s="487"/>
      <c r="AO110" s="487"/>
      <c r="AP110" s="487"/>
      <c r="AQ110" s="487"/>
      <c r="AR110" s="487"/>
      <c r="AS110" s="487"/>
      <c r="AT110" s="487"/>
      <c r="AU110" s="487"/>
      <c r="AV110" s="487"/>
      <c r="AW110" s="487"/>
      <c r="AX110" s="487"/>
      <c r="AY110" s="487"/>
      <c r="AZ110" s="487"/>
      <c r="BA110" s="487"/>
      <c r="BB110" s="487"/>
      <c r="BC110" s="487"/>
      <c r="BD110" s="487"/>
      <c r="BE110" s="487"/>
      <c r="BF110" s="487"/>
      <c r="BG110" s="487"/>
      <c r="BH110" s="487"/>
      <c r="BI110" s="487"/>
      <c r="BJ110" s="487"/>
      <c r="BK110" s="487"/>
      <c r="BL110" s="487"/>
      <c r="BM110" s="487"/>
      <c r="BN110" s="487"/>
      <c r="BO110" s="487"/>
      <c r="BP110" s="487"/>
      <c r="BQ110" s="487"/>
      <c r="BR110" s="487"/>
      <c r="BS110" s="487"/>
      <c r="BT110" s="487"/>
      <c r="BU110" s="487"/>
      <c r="BV110" s="487"/>
    </row>
    <row r="111" spans="1:120" s="488" customFormat="1" ht="62.25" customHeight="1" thickBot="1" x14ac:dyDescent="0.3">
      <c r="A111" s="748" t="s">
        <v>196</v>
      </c>
      <c r="B111" s="749"/>
      <c r="C111" s="539"/>
      <c r="D111" s="539"/>
      <c r="E111" s="354">
        <f>SUM(C111:D111)</f>
        <v>0</v>
      </c>
      <c r="F111" s="355">
        <f>R111+T111+V111+X111</f>
        <v>0</v>
      </c>
      <c r="G111" s="355">
        <f>S111+U111+W111+Y111</f>
        <v>0</v>
      </c>
      <c r="H111" s="359">
        <f t="shared" ref="H111" si="56">SUM(F111:G111)</f>
        <v>0</v>
      </c>
      <c r="I111" s="406" t="e">
        <f t="shared" ref="I111:I133" si="57">H111/E111*100</f>
        <v>#DIV/0!</v>
      </c>
      <c r="J111" s="42"/>
      <c r="K111" s="43"/>
      <c r="L111" s="44"/>
      <c r="M111" s="43"/>
      <c r="N111" s="44"/>
      <c r="O111" s="43"/>
      <c r="P111" s="44"/>
      <c r="Q111" s="43"/>
      <c r="R111" s="490"/>
      <c r="S111" s="497"/>
      <c r="T111" s="495"/>
      <c r="U111" s="495"/>
      <c r="V111" s="495"/>
      <c r="W111" s="495"/>
      <c r="X111" s="495"/>
      <c r="Y111" s="492"/>
      <c r="Z111" s="116"/>
      <c r="AA111" s="487"/>
      <c r="AB111" s="487"/>
      <c r="AC111" s="487"/>
      <c r="AD111" s="487"/>
      <c r="AE111" s="487"/>
      <c r="AF111" s="487"/>
      <c r="AG111" s="487"/>
      <c r="AH111" s="487"/>
      <c r="AI111" s="487"/>
      <c r="AJ111" s="487"/>
      <c r="AK111" s="487"/>
      <c r="AL111" s="487"/>
      <c r="AM111" s="487"/>
      <c r="AN111" s="487"/>
      <c r="AO111" s="487"/>
      <c r="AP111" s="487"/>
      <c r="AQ111" s="487"/>
      <c r="AR111" s="487"/>
      <c r="AS111" s="487"/>
      <c r="AT111" s="487"/>
      <c r="AU111" s="487"/>
      <c r="AV111" s="487"/>
      <c r="AW111" s="487"/>
      <c r="AX111" s="487"/>
      <c r="AY111" s="487"/>
      <c r="AZ111" s="487"/>
      <c r="BA111" s="487"/>
      <c r="BB111" s="487"/>
      <c r="BC111" s="487"/>
      <c r="BD111" s="487"/>
      <c r="BE111" s="487"/>
      <c r="BF111" s="487"/>
      <c r="BG111" s="487"/>
      <c r="BH111" s="487"/>
      <c r="BI111" s="487"/>
      <c r="BJ111" s="487"/>
      <c r="BK111" s="487"/>
      <c r="BL111" s="487"/>
      <c r="BM111" s="487"/>
      <c r="BN111" s="487"/>
      <c r="BO111" s="487"/>
      <c r="BP111" s="487"/>
      <c r="BQ111" s="487"/>
      <c r="BR111" s="487"/>
      <c r="BS111" s="487"/>
      <c r="BT111" s="487"/>
      <c r="BU111" s="487"/>
      <c r="BV111" s="487"/>
    </row>
    <row r="112" spans="1:120" s="488" customFormat="1" ht="15.75" thickBot="1" x14ac:dyDescent="0.3">
      <c r="A112" s="750" t="s">
        <v>197</v>
      </c>
      <c r="B112" s="59" t="s">
        <v>198</v>
      </c>
      <c r="C112" s="539"/>
      <c r="D112" s="539"/>
      <c r="E112" s="354">
        <f t="shared" ref="E112:E121" si="58">SUM(C112:D112)</f>
        <v>0</v>
      </c>
      <c r="F112" s="355">
        <f>J112+L112+N112+P112+R112+T112+V112+X112</f>
        <v>0</v>
      </c>
      <c r="G112" s="355">
        <f>K112+M112+O112+Q112+S112+U112+W112+Y112</f>
        <v>0</v>
      </c>
      <c r="H112" s="359">
        <f>SUM(F112:G112)</f>
        <v>0</v>
      </c>
      <c r="I112" s="405" t="e">
        <f t="shared" si="57"/>
        <v>#DIV/0!</v>
      </c>
      <c r="J112" s="490"/>
      <c r="K112" s="601"/>
      <c r="L112" s="491"/>
      <c r="M112" s="492"/>
      <c r="N112" s="493"/>
      <c r="O112" s="494"/>
      <c r="P112" s="491"/>
      <c r="Q112" s="492"/>
      <c r="R112" s="490"/>
      <c r="S112" s="497"/>
      <c r="T112" s="495"/>
      <c r="U112" s="495"/>
      <c r="V112" s="495"/>
      <c r="W112" s="495"/>
      <c r="X112" s="495"/>
      <c r="Y112" s="492"/>
      <c r="Z112" s="116"/>
      <c r="AA112" s="487"/>
      <c r="AB112" s="487"/>
      <c r="AC112" s="487"/>
      <c r="AD112" s="487"/>
      <c r="AE112" s="487"/>
      <c r="AF112" s="487"/>
      <c r="AG112" s="487"/>
      <c r="AH112" s="487"/>
      <c r="AI112" s="487"/>
      <c r="AJ112" s="487"/>
      <c r="AK112" s="487"/>
      <c r="AL112" s="487"/>
      <c r="AM112" s="487"/>
      <c r="AN112" s="487"/>
      <c r="AO112" s="487"/>
      <c r="AP112" s="487"/>
      <c r="AQ112" s="487"/>
      <c r="AR112" s="487"/>
      <c r="AS112" s="487"/>
      <c r="AT112" s="487"/>
      <c r="AU112" s="487"/>
      <c r="AV112" s="487"/>
      <c r="AW112" s="487"/>
      <c r="AX112" s="487"/>
      <c r="AY112" s="487"/>
      <c r="AZ112" s="487"/>
      <c r="BA112" s="487"/>
      <c r="BB112" s="487"/>
      <c r="BC112" s="487"/>
      <c r="BD112" s="487"/>
      <c r="BE112" s="487"/>
      <c r="BF112" s="487"/>
      <c r="BG112" s="487"/>
      <c r="BH112" s="487"/>
      <c r="BI112" s="487"/>
      <c r="BJ112" s="487"/>
      <c r="BK112" s="487"/>
      <c r="BL112" s="487"/>
      <c r="BM112" s="487"/>
      <c r="BN112" s="487"/>
      <c r="BO112" s="487"/>
      <c r="BP112" s="487"/>
      <c r="BQ112" s="487"/>
      <c r="BR112" s="487"/>
      <c r="BS112" s="487"/>
      <c r="BT112" s="487"/>
      <c r="BU112" s="487"/>
      <c r="BV112" s="487"/>
    </row>
    <row r="113" spans="1:120" s="488" customFormat="1" ht="15.75" thickBot="1" x14ac:dyDescent="0.3">
      <c r="A113" s="751"/>
      <c r="B113" s="60" t="s">
        <v>262</v>
      </c>
      <c r="C113" s="539"/>
      <c r="D113" s="539"/>
      <c r="E113" s="354">
        <f t="shared" ref="E113" si="59">SUM(C113:D113)</f>
        <v>0</v>
      </c>
      <c r="F113" s="355">
        <f>J113+L113+N113+P113+R113+T113+V113+X113</f>
        <v>0</v>
      </c>
      <c r="G113" s="355">
        <f>K113+M113+O113+Q113+S113+U113+W113+Y113</f>
        <v>0</v>
      </c>
      <c r="H113" s="359">
        <f>SUM(F113:G113)</f>
        <v>0</v>
      </c>
      <c r="I113" s="405" t="e">
        <f t="shared" si="57"/>
        <v>#DIV/0!</v>
      </c>
      <c r="J113" s="490"/>
      <c r="K113" s="601"/>
      <c r="L113" s="491"/>
      <c r="M113" s="492"/>
      <c r="N113" s="493"/>
      <c r="O113" s="494"/>
      <c r="P113" s="491"/>
      <c r="Q113" s="492"/>
      <c r="R113" s="490"/>
      <c r="S113" s="497"/>
      <c r="T113" s="495"/>
      <c r="U113" s="495"/>
      <c r="V113" s="495"/>
      <c r="W113" s="495"/>
      <c r="X113" s="495"/>
      <c r="Y113" s="492"/>
      <c r="Z113" s="116"/>
      <c r="AA113" s="487"/>
      <c r="AB113" s="487"/>
      <c r="AC113" s="487"/>
      <c r="AD113" s="487"/>
      <c r="AE113" s="487"/>
      <c r="AF113" s="487"/>
      <c r="AG113" s="487"/>
      <c r="AH113" s="487"/>
      <c r="AI113" s="487"/>
      <c r="AJ113" s="487"/>
      <c r="AK113" s="487"/>
      <c r="AL113" s="487"/>
      <c r="AM113" s="487"/>
      <c r="AN113" s="487"/>
      <c r="AO113" s="487"/>
      <c r="AP113" s="487"/>
      <c r="AQ113" s="487"/>
      <c r="AR113" s="487"/>
      <c r="AS113" s="487"/>
      <c r="AT113" s="487"/>
      <c r="AU113" s="487"/>
      <c r="AV113" s="487"/>
      <c r="AW113" s="487"/>
      <c r="AX113" s="487"/>
      <c r="AY113" s="487"/>
      <c r="AZ113" s="487"/>
      <c r="BA113" s="487"/>
      <c r="BB113" s="487"/>
      <c r="BC113" s="487"/>
      <c r="BD113" s="487"/>
      <c r="BE113" s="487"/>
      <c r="BF113" s="487"/>
      <c r="BG113" s="487"/>
      <c r="BH113" s="487"/>
      <c r="BI113" s="487"/>
      <c r="BJ113" s="487"/>
      <c r="BK113" s="487"/>
      <c r="BL113" s="487"/>
      <c r="BM113" s="487"/>
      <c r="BN113" s="487"/>
      <c r="BO113" s="487"/>
      <c r="BP113" s="487"/>
      <c r="BQ113" s="487"/>
      <c r="BR113" s="487"/>
      <c r="BS113" s="487"/>
      <c r="BT113" s="487"/>
      <c r="BU113" s="487"/>
      <c r="BV113" s="487"/>
    </row>
    <row r="114" spans="1:120" s="488" customFormat="1" ht="15.75" thickBot="1" x14ac:dyDescent="0.3">
      <c r="A114" s="752" t="s">
        <v>200</v>
      </c>
      <c r="B114" s="47" t="s">
        <v>201</v>
      </c>
      <c r="C114" s="82"/>
      <c r="D114" s="82"/>
      <c r="E114" s="354">
        <f t="shared" si="58"/>
        <v>0</v>
      </c>
      <c r="F114" s="355">
        <f t="shared" ref="F114:G118" si="60">J114+L114+N114+P114+R114+T114+V114+X114</f>
        <v>0</v>
      </c>
      <c r="G114" s="355">
        <f t="shared" si="60"/>
        <v>0</v>
      </c>
      <c r="H114" s="359">
        <f>SUM(F114:G114)</f>
        <v>0</v>
      </c>
      <c r="I114" s="405" t="e">
        <f t="shared" si="57"/>
        <v>#DIV/0!</v>
      </c>
      <c r="J114" s="490"/>
      <c r="K114" s="601"/>
      <c r="L114" s="491"/>
      <c r="M114" s="492"/>
      <c r="N114" s="493"/>
      <c r="O114" s="494"/>
      <c r="P114" s="491"/>
      <c r="Q114" s="492"/>
      <c r="R114" s="490"/>
      <c r="S114" s="497"/>
      <c r="T114" s="495"/>
      <c r="U114" s="495"/>
      <c r="V114" s="495"/>
      <c r="W114" s="495"/>
      <c r="X114" s="495"/>
      <c r="Y114" s="492"/>
      <c r="Z114" s="116"/>
      <c r="AA114" s="487"/>
      <c r="AB114" s="487"/>
      <c r="AC114" s="487"/>
      <c r="AD114" s="487"/>
      <c r="AE114" s="487"/>
      <c r="AF114" s="487"/>
      <c r="AG114" s="487"/>
      <c r="AH114" s="487"/>
      <c r="AI114" s="487"/>
      <c r="AJ114" s="487"/>
      <c r="AK114" s="487"/>
      <c r="AL114" s="487"/>
      <c r="AM114" s="487"/>
      <c r="AN114" s="487"/>
      <c r="AO114" s="487"/>
      <c r="AP114" s="487"/>
      <c r="AQ114" s="487"/>
      <c r="AR114" s="487"/>
      <c r="AS114" s="487"/>
      <c r="AT114" s="487"/>
      <c r="AU114" s="487"/>
      <c r="AV114" s="487"/>
      <c r="AW114" s="487"/>
      <c r="AX114" s="487"/>
      <c r="AY114" s="487"/>
      <c r="AZ114" s="487"/>
      <c r="BA114" s="487"/>
      <c r="BB114" s="487"/>
      <c r="BC114" s="487"/>
      <c r="BD114" s="487"/>
      <c r="BE114" s="487"/>
      <c r="BF114" s="487"/>
      <c r="BG114" s="487"/>
      <c r="BH114" s="487"/>
      <c r="BI114" s="487"/>
      <c r="BJ114" s="487"/>
      <c r="BK114" s="487"/>
      <c r="BL114" s="487"/>
      <c r="BM114" s="487"/>
      <c r="BN114" s="487"/>
      <c r="BO114" s="487"/>
      <c r="BP114" s="487"/>
      <c r="BQ114" s="487"/>
      <c r="BR114" s="487"/>
      <c r="BS114" s="487"/>
      <c r="BT114" s="487"/>
      <c r="BU114" s="487"/>
      <c r="BV114" s="487"/>
    </row>
    <row r="115" spans="1:120" s="488" customFormat="1" ht="30.75" thickBot="1" x14ac:dyDescent="0.3">
      <c r="A115" s="753"/>
      <c r="B115" s="48" t="s">
        <v>133</v>
      </c>
      <c r="C115" s="82"/>
      <c r="D115" s="82"/>
      <c r="E115" s="354">
        <f t="shared" si="58"/>
        <v>0</v>
      </c>
      <c r="F115" s="355">
        <f t="shared" si="60"/>
        <v>0</v>
      </c>
      <c r="G115" s="355">
        <f t="shared" si="60"/>
        <v>0</v>
      </c>
      <c r="H115" s="359">
        <f t="shared" ref="H115" si="61">SUM(F115:G115)</f>
        <v>0</v>
      </c>
      <c r="I115" s="405" t="e">
        <f t="shared" si="57"/>
        <v>#DIV/0!</v>
      </c>
      <c r="J115" s="490"/>
      <c r="K115" s="601"/>
      <c r="L115" s="491"/>
      <c r="M115" s="492"/>
      <c r="N115" s="493"/>
      <c r="O115" s="494"/>
      <c r="P115" s="491"/>
      <c r="Q115" s="492"/>
      <c r="R115" s="490"/>
      <c r="S115" s="497"/>
      <c r="T115" s="495"/>
      <c r="U115" s="495"/>
      <c r="V115" s="495"/>
      <c r="W115" s="495"/>
      <c r="X115" s="495"/>
      <c r="Y115" s="492"/>
      <c r="Z115" s="116"/>
      <c r="AA115" s="487"/>
      <c r="AB115" s="487"/>
      <c r="AC115" s="487"/>
      <c r="AD115" s="487"/>
      <c r="AE115" s="487"/>
      <c r="AF115" s="487"/>
      <c r="AG115" s="487"/>
      <c r="AH115" s="487"/>
      <c r="AI115" s="487"/>
      <c r="AJ115" s="487"/>
      <c r="AK115" s="487"/>
      <c r="AL115" s="487"/>
      <c r="AM115" s="487"/>
      <c r="AN115" s="487"/>
      <c r="AO115" s="487"/>
      <c r="AP115" s="487"/>
      <c r="AQ115" s="487"/>
      <c r="AR115" s="487"/>
      <c r="AS115" s="487"/>
      <c r="AT115" s="487"/>
      <c r="AU115" s="487"/>
      <c r="AV115" s="487"/>
      <c r="AW115" s="487"/>
      <c r="AX115" s="487"/>
      <c r="AY115" s="487"/>
      <c r="AZ115" s="487"/>
      <c r="BA115" s="487"/>
      <c r="BB115" s="487"/>
      <c r="BC115" s="487"/>
      <c r="BD115" s="487"/>
      <c r="BE115" s="487"/>
      <c r="BF115" s="487"/>
      <c r="BG115" s="487"/>
      <c r="BH115" s="487"/>
      <c r="BI115" s="487"/>
      <c r="BJ115" s="487"/>
      <c r="BK115" s="487"/>
      <c r="BL115" s="487"/>
      <c r="BM115" s="487"/>
      <c r="BN115" s="487"/>
      <c r="BO115" s="487"/>
      <c r="BP115" s="487"/>
      <c r="BQ115" s="487"/>
      <c r="BR115" s="487"/>
      <c r="BS115" s="487"/>
      <c r="BT115" s="487"/>
      <c r="BU115" s="487"/>
      <c r="BV115" s="487"/>
    </row>
    <row r="116" spans="1:120" s="488" customFormat="1" ht="15.75" thickBot="1" x14ac:dyDescent="0.3">
      <c r="A116" s="753"/>
      <c r="B116" s="49" t="s">
        <v>202</v>
      </c>
      <c r="C116" s="540"/>
      <c r="D116" s="540"/>
      <c r="E116" s="354">
        <f t="shared" si="58"/>
        <v>0</v>
      </c>
      <c r="F116" s="355">
        <f t="shared" si="60"/>
        <v>0</v>
      </c>
      <c r="G116" s="355">
        <f t="shared" si="60"/>
        <v>0</v>
      </c>
      <c r="H116" s="355">
        <f>SUM(F116:G116)</f>
        <v>0</v>
      </c>
      <c r="I116" s="405" t="e">
        <f t="shared" si="57"/>
        <v>#DIV/0!</v>
      </c>
      <c r="J116" s="490"/>
      <c r="K116" s="601"/>
      <c r="L116" s="491"/>
      <c r="M116" s="492"/>
      <c r="N116" s="493"/>
      <c r="O116" s="494"/>
      <c r="P116" s="491"/>
      <c r="Q116" s="492"/>
      <c r="R116" s="490"/>
      <c r="S116" s="497"/>
      <c r="T116" s="495"/>
      <c r="U116" s="495"/>
      <c r="V116" s="495"/>
      <c r="W116" s="495"/>
      <c r="X116" s="495"/>
      <c r="Y116" s="492"/>
      <c r="Z116" s="116"/>
      <c r="AA116" s="487"/>
      <c r="AB116" s="487"/>
      <c r="AC116" s="487"/>
      <c r="AD116" s="487"/>
      <c r="AE116" s="487"/>
      <c r="AF116" s="487"/>
      <c r="AG116" s="487"/>
      <c r="AH116" s="487"/>
      <c r="AI116" s="487"/>
      <c r="AJ116" s="487"/>
      <c r="AK116" s="487"/>
      <c r="AL116" s="487"/>
      <c r="AM116" s="487"/>
      <c r="AN116" s="487"/>
      <c r="AO116" s="487"/>
      <c r="AP116" s="487"/>
      <c r="AQ116" s="487"/>
      <c r="AR116" s="487"/>
      <c r="AS116" s="487"/>
      <c r="AT116" s="487"/>
      <c r="AU116" s="487"/>
      <c r="AV116" s="487"/>
      <c r="AW116" s="487"/>
      <c r="AX116" s="487"/>
      <c r="AY116" s="487"/>
      <c r="AZ116" s="487"/>
      <c r="BA116" s="487"/>
      <c r="BB116" s="487"/>
      <c r="BC116" s="487"/>
      <c r="BD116" s="487"/>
      <c r="BE116" s="487"/>
      <c r="BF116" s="487"/>
      <c r="BG116" s="487"/>
      <c r="BH116" s="487"/>
      <c r="BI116" s="487"/>
      <c r="BJ116" s="487"/>
      <c r="BK116" s="487"/>
      <c r="BL116" s="487"/>
      <c r="BM116" s="487"/>
      <c r="BN116" s="487"/>
      <c r="BO116" s="487"/>
      <c r="BP116" s="487"/>
      <c r="BQ116" s="487"/>
      <c r="BR116" s="487"/>
      <c r="BS116" s="487"/>
      <c r="BT116" s="487"/>
      <c r="BU116" s="487"/>
      <c r="BV116" s="487"/>
    </row>
    <row r="117" spans="1:120" s="488" customFormat="1" ht="15.75" thickBot="1" x14ac:dyDescent="0.3">
      <c r="A117" s="753"/>
      <c r="B117" s="50" t="s">
        <v>135</v>
      </c>
      <c r="C117" s="88"/>
      <c r="D117" s="88"/>
      <c r="E117" s="354">
        <f t="shared" si="58"/>
        <v>0</v>
      </c>
      <c r="F117" s="355">
        <f t="shared" si="60"/>
        <v>0</v>
      </c>
      <c r="G117" s="355">
        <f t="shared" si="60"/>
        <v>0</v>
      </c>
      <c r="H117" s="359">
        <f t="shared" ref="H117:H119" si="62">SUM(F117:G117)</f>
        <v>0</v>
      </c>
      <c r="I117" s="405" t="e">
        <f t="shared" si="57"/>
        <v>#DIV/0!</v>
      </c>
      <c r="J117" s="490"/>
      <c r="K117" s="601"/>
      <c r="L117" s="491"/>
      <c r="M117" s="492"/>
      <c r="N117" s="493"/>
      <c r="O117" s="494"/>
      <c r="P117" s="491"/>
      <c r="Q117" s="492"/>
      <c r="R117" s="490"/>
      <c r="S117" s="497"/>
      <c r="T117" s="495"/>
      <c r="U117" s="495"/>
      <c r="V117" s="495"/>
      <c r="W117" s="495"/>
      <c r="X117" s="495"/>
      <c r="Y117" s="492"/>
      <c r="Z117" s="116"/>
      <c r="AA117" s="487"/>
      <c r="AB117" s="487"/>
      <c r="AC117" s="487"/>
      <c r="AD117" s="487"/>
      <c r="AE117" s="487"/>
      <c r="AF117" s="487"/>
      <c r="AG117" s="487"/>
      <c r="AH117" s="487"/>
      <c r="AI117" s="487"/>
      <c r="AJ117" s="487"/>
      <c r="AK117" s="487"/>
      <c r="AL117" s="487"/>
      <c r="AM117" s="487"/>
      <c r="AN117" s="487"/>
      <c r="AO117" s="487"/>
      <c r="AP117" s="487"/>
      <c r="AQ117" s="487"/>
      <c r="AR117" s="487"/>
      <c r="AS117" s="487"/>
      <c r="AT117" s="487"/>
      <c r="AU117" s="487"/>
      <c r="AV117" s="487"/>
      <c r="AW117" s="487"/>
      <c r="AX117" s="487"/>
      <c r="AY117" s="487"/>
      <c r="AZ117" s="487"/>
      <c r="BA117" s="487"/>
      <c r="BB117" s="487"/>
      <c r="BC117" s="487"/>
      <c r="BD117" s="487"/>
      <c r="BE117" s="487"/>
      <c r="BF117" s="487"/>
      <c r="BG117" s="487"/>
      <c r="BH117" s="487"/>
      <c r="BI117" s="487"/>
      <c r="BJ117" s="487"/>
      <c r="BK117" s="487"/>
      <c r="BL117" s="487"/>
      <c r="BM117" s="487"/>
      <c r="BN117" s="487"/>
      <c r="BO117" s="487"/>
      <c r="BP117" s="487"/>
      <c r="BQ117" s="487"/>
      <c r="BR117" s="487"/>
      <c r="BS117" s="487"/>
      <c r="BT117" s="487"/>
      <c r="BU117" s="487"/>
      <c r="BV117" s="487"/>
    </row>
    <row r="118" spans="1:120" s="488" customFormat="1" ht="15.75" thickBot="1" x14ac:dyDescent="0.3">
      <c r="A118" s="753"/>
      <c r="B118" s="50" t="s">
        <v>203</v>
      </c>
      <c r="C118" s="88"/>
      <c r="D118" s="88"/>
      <c r="E118" s="354">
        <f t="shared" si="58"/>
        <v>0</v>
      </c>
      <c r="F118" s="355">
        <f t="shared" si="60"/>
        <v>0</v>
      </c>
      <c r="G118" s="355">
        <f t="shared" si="60"/>
        <v>0</v>
      </c>
      <c r="H118" s="359">
        <f t="shared" si="62"/>
        <v>0</v>
      </c>
      <c r="I118" s="405" t="e">
        <f t="shared" si="57"/>
        <v>#DIV/0!</v>
      </c>
      <c r="J118" s="490"/>
      <c r="K118" s="601"/>
      <c r="L118" s="491"/>
      <c r="M118" s="492"/>
      <c r="N118" s="493"/>
      <c r="O118" s="494"/>
      <c r="P118" s="491"/>
      <c r="Q118" s="492"/>
      <c r="R118" s="490"/>
      <c r="S118" s="497"/>
      <c r="T118" s="495"/>
      <c r="U118" s="495"/>
      <c r="V118" s="495"/>
      <c r="W118" s="495"/>
      <c r="X118" s="495"/>
      <c r="Y118" s="492"/>
      <c r="Z118" s="116"/>
      <c r="AA118" s="487"/>
      <c r="AB118" s="487"/>
      <c r="AC118" s="487"/>
      <c r="AD118" s="487"/>
      <c r="AE118" s="487"/>
      <c r="AF118" s="487"/>
      <c r="AG118" s="487"/>
      <c r="AH118" s="487"/>
      <c r="AI118" s="487"/>
      <c r="AJ118" s="487"/>
      <c r="AK118" s="487"/>
      <c r="AL118" s="487"/>
      <c r="AM118" s="487"/>
      <c r="AN118" s="487"/>
      <c r="AO118" s="487"/>
      <c r="AP118" s="487"/>
      <c r="AQ118" s="487"/>
      <c r="AR118" s="487"/>
      <c r="AS118" s="487"/>
      <c r="AT118" s="487"/>
      <c r="AU118" s="487"/>
      <c r="AV118" s="487"/>
      <c r="AW118" s="487"/>
      <c r="AX118" s="487"/>
      <c r="AY118" s="487"/>
      <c r="AZ118" s="487"/>
      <c r="BA118" s="487"/>
      <c r="BB118" s="487"/>
      <c r="BC118" s="487"/>
      <c r="BD118" s="487"/>
      <c r="BE118" s="487"/>
      <c r="BF118" s="487"/>
      <c r="BG118" s="487"/>
      <c r="BH118" s="487"/>
      <c r="BI118" s="487"/>
      <c r="BJ118" s="487"/>
      <c r="BK118" s="487"/>
      <c r="BL118" s="487"/>
      <c r="BM118" s="487"/>
      <c r="BN118" s="487"/>
      <c r="BO118" s="487"/>
      <c r="BP118" s="487"/>
      <c r="BQ118" s="487"/>
      <c r="BR118" s="487"/>
      <c r="BS118" s="487"/>
      <c r="BT118" s="487"/>
      <c r="BU118" s="487"/>
      <c r="BV118" s="487"/>
    </row>
    <row r="119" spans="1:120" s="488" customFormat="1" ht="15.75" thickBot="1" x14ac:dyDescent="0.3">
      <c r="A119" s="754" t="s">
        <v>204</v>
      </c>
      <c r="B119" s="755"/>
      <c r="C119" s="539"/>
      <c r="D119" s="539"/>
      <c r="E119" s="354">
        <f t="shared" si="58"/>
        <v>0</v>
      </c>
      <c r="F119" s="355">
        <f>J119+L119+N119+P119</f>
        <v>0</v>
      </c>
      <c r="G119" s="355">
        <f>K119+M119+O119+Q119</f>
        <v>0</v>
      </c>
      <c r="H119" s="359">
        <f t="shared" si="62"/>
        <v>0</v>
      </c>
      <c r="I119" s="406" t="e">
        <f t="shared" si="57"/>
        <v>#DIV/0!</v>
      </c>
      <c r="J119" s="602"/>
      <c r="K119" s="603"/>
      <c r="L119" s="604"/>
      <c r="M119" s="605"/>
      <c r="N119" s="604"/>
      <c r="O119" s="605"/>
      <c r="P119" s="604"/>
      <c r="Q119" s="605"/>
      <c r="R119" s="55"/>
      <c r="S119" s="56"/>
      <c r="T119" s="55"/>
      <c r="U119" s="56"/>
      <c r="V119" s="55"/>
      <c r="W119" s="57"/>
      <c r="X119" s="55"/>
      <c r="Y119" s="58"/>
      <c r="Z119" s="116"/>
      <c r="AA119" s="487"/>
      <c r="AB119" s="487"/>
      <c r="AC119" s="487"/>
      <c r="AD119" s="487"/>
      <c r="AE119" s="487"/>
      <c r="AF119" s="487"/>
      <c r="AG119" s="487"/>
      <c r="AH119" s="487"/>
      <c r="AI119" s="487"/>
      <c r="AJ119" s="487"/>
      <c r="AK119" s="487"/>
      <c r="AL119" s="487"/>
      <c r="AM119" s="487"/>
      <c r="AN119" s="487"/>
      <c r="AO119" s="487"/>
      <c r="AP119" s="487"/>
      <c r="AQ119" s="487"/>
      <c r="AR119" s="487"/>
      <c r="AS119" s="487"/>
      <c r="AT119" s="487"/>
      <c r="AU119" s="487"/>
      <c r="AV119" s="487"/>
      <c r="AW119" s="487"/>
      <c r="AX119" s="487"/>
      <c r="AY119" s="487"/>
      <c r="AZ119" s="487"/>
      <c r="BA119" s="487"/>
      <c r="BB119" s="487"/>
      <c r="BC119" s="487"/>
      <c r="BD119" s="487"/>
      <c r="BE119" s="487"/>
      <c r="BF119" s="487"/>
      <c r="BG119" s="487"/>
      <c r="BH119" s="487"/>
      <c r="BI119" s="487"/>
      <c r="BJ119" s="487"/>
      <c r="BK119" s="487"/>
      <c r="BL119" s="487"/>
      <c r="BM119" s="487"/>
      <c r="BN119" s="487"/>
      <c r="BO119" s="487"/>
      <c r="BP119" s="487"/>
      <c r="BQ119" s="487"/>
      <c r="BR119" s="487"/>
      <c r="BS119" s="487"/>
      <c r="BT119" s="487"/>
      <c r="BU119" s="487"/>
      <c r="BV119" s="487"/>
    </row>
    <row r="120" spans="1:120" s="488" customFormat="1" ht="15.75" thickBot="1" x14ac:dyDescent="0.3">
      <c r="A120" s="756" t="s">
        <v>205</v>
      </c>
      <c r="B120" s="59" t="s">
        <v>206</v>
      </c>
      <c r="C120" s="82"/>
      <c r="D120" s="82"/>
      <c r="E120" s="354">
        <f t="shared" si="58"/>
        <v>0</v>
      </c>
      <c r="F120" s="355">
        <f t="shared" ref="F120:G121" si="63">J120+L120+N120+P120+R120+T120+V120+X120</f>
        <v>0</v>
      </c>
      <c r="G120" s="355">
        <f t="shared" si="63"/>
        <v>0</v>
      </c>
      <c r="H120" s="355">
        <f>SUM(F120:G120)</f>
        <v>0</v>
      </c>
      <c r="I120" s="406" t="e">
        <f t="shared" si="57"/>
        <v>#DIV/0!</v>
      </c>
      <c r="J120" s="491"/>
      <c r="K120" s="495"/>
      <c r="L120" s="491"/>
      <c r="M120" s="495"/>
      <c r="N120" s="491"/>
      <c r="O120" s="494"/>
      <c r="P120" s="491"/>
      <c r="Q120" s="492"/>
      <c r="R120" s="491"/>
      <c r="S120" s="495"/>
      <c r="T120" s="491"/>
      <c r="U120" s="495"/>
      <c r="V120" s="491"/>
      <c r="W120" s="494"/>
      <c r="X120" s="491"/>
      <c r="Y120" s="492"/>
      <c r="Z120" s="116"/>
      <c r="AA120" s="116"/>
      <c r="AB120" s="116"/>
      <c r="AC120" s="116"/>
      <c r="AD120" s="116"/>
      <c r="AE120" s="487"/>
      <c r="AF120" s="487"/>
      <c r="AG120" s="487"/>
      <c r="AH120" s="487"/>
      <c r="AI120" s="487"/>
      <c r="AJ120" s="487"/>
      <c r="AK120" s="487"/>
      <c r="AL120" s="487"/>
      <c r="AM120" s="487"/>
      <c r="AN120" s="487"/>
      <c r="AO120" s="487"/>
      <c r="AP120" s="487"/>
      <c r="AQ120" s="487"/>
      <c r="AR120" s="487"/>
      <c r="AS120" s="487"/>
      <c r="AT120" s="487"/>
      <c r="AU120" s="487"/>
      <c r="AV120" s="487"/>
      <c r="AW120" s="487"/>
      <c r="AX120" s="487"/>
      <c r="AY120" s="487"/>
      <c r="AZ120" s="487"/>
      <c r="BA120" s="487"/>
      <c r="BB120" s="487"/>
      <c r="BC120" s="487"/>
      <c r="BD120" s="487"/>
      <c r="BE120" s="487"/>
      <c r="BF120" s="487"/>
      <c r="BG120" s="487"/>
      <c r="BH120" s="487"/>
      <c r="BI120" s="487"/>
      <c r="BJ120" s="487"/>
      <c r="BK120" s="487"/>
      <c r="BL120" s="487"/>
      <c r="BM120" s="487"/>
      <c r="BN120" s="487"/>
      <c r="BO120" s="487"/>
      <c r="BP120" s="487"/>
      <c r="BQ120" s="487"/>
      <c r="BR120" s="487"/>
      <c r="BS120" s="487"/>
      <c r="BT120" s="487"/>
      <c r="BU120" s="487"/>
      <c r="BV120" s="487"/>
      <c r="BW120" s="487"/>
      <c r="BX120" s="487"/>
      <c r="BY120" s="487"/>
      <c r="BZ120" s="487"/>
    </row>
    <row r="121" spans="1:120" s="488" customFormat="1" ht="15.75" thickBot="1" x14ac:dyDescent="0.3">
      <c r="A121" s="753"/>
      <c r="B121" s="59" t="s">
        <v>140</v>
      </c>
      <c r="C121" s="82"/>
      <c r="D121" s="82"/>
      <c r="E121" s="354">
        <f t="shared" si="58"/>
        <v>0</v>
      </c>
      <c r="F121" s="355">
        <f t="shared" si="63"/>
        <v>0</v>
      </c>
      <c r="G121" s="355">
        <f t="shared" si="63"/>
        <v>0</v>
      </c>
      <c r="H121" s="359">
        <f t="shared" ref="H121" si="64">SUM(F121:G121)</f>
        <v>0</v>
      </c>
      <c r="I121" s="406" t="e">
        <f t="shared" si="57"/>
        <v>#DIV/0!</v>
      </c>
      <c r="J121" s="491"/>
      <c r="K121" s="495"/>
      <c r="L121" s="491"/>
      <c r="M121" s="495"/>
      <c r="N121" s="491"/>
      <c r="O121" s="494"/>
      <c r="P121" s="491"/>
      <c r="Q121" s="492"/>
      <c r="R121" s="491"/>
      <c r="S121" s="495"/>
      <c r="T121" s="491"/>
      <c r="U121" s="495"/>
      <c r="V121" s="491"/>
      <c r="W121" s="494"/>
      <c r="X121" s="491"/>
      <c r="Y121" s="492"/>
      <c r="Z121" s="116"/>
      <c r="AA121" s="116"/>
      <c r="AB121" s="116"/>
      <c r="AC121" s="116"/>
      <c r="AD121" s="116"/>
      <c r="AE121" s="487"/>
      <c r="AF121" s="487"/>
      <c r="AG121" s="487"/>
      <c r="AH121" s="487"/>
      <c r="AI121" s="487"/>
      <c r="AJ121" s="487"/>
      <c r="AK121" s="487"/>
      <c r="AL121" s="487"/>
      <c r="AM121" s="487"/>
      <c r="AN121" s="487"/>
      <c r="AO121" s="487"/>
      <c r="AP121" s="487"/>
      <c r="AQ121" s="487"/>
      <c r="AR121" s="487"/>
      <c r="AS121" s="487"/>
      <c r="AT121" s="487"/>
      <c r="AU121" s="487"/>
      <c r="AV121" s="487"/>
      <c r="AW121" s="487"/>
      <c r="AX121" s="487"/>
      <c r="AY121" s="487"/>
      <c r="AZ121" s="487"/>
      <c r="BA121" s="487"/>
      <c r="BB121" s="487"/>
      <c r="BC121" s="487"/>
      <c r="BD121" s="487"/>
      <c r="BE121" s="487"/>
      <c r="BF121" s="487"/>
      <c r="BG121" s="487"/>
      <c r="BH121" s="487"/>
      <c r="BI121" s="487"/>
      <c r="BJ121" s="487"/>
      <c r="BK121" s="487"/>
      <c r="BL121" s="487"/>
      <c r="BM121" s="487"/>
      <c r="BN121" s="487"/>
      <c r="BO121" s="487"/>
      <c r="BP121" s="487"/>
      <c r="BQ121" s="487"/>
      <c r="BR121" s="487"/>
      <c r="BS121" s="487"/>
      <c r="BT121" s="487"/>
      <c r="BU121" s="487"/>
      <c r="BV121" s="487"/>
      <c r="BW121" s="487"/>
      <c r="BX121" s="487"/>
      <c r="BY121" s="487"/>
      <c r="BZ121" s="487"/>
    </row>
    <row r="122" spans="1:120" s="488" customFormat="1" ht="15.75" thickBot="1" x14ac:dyDescent="0.3">
      <c r="A122" s="753"/>
      <c r="B122" s="50" t="s">
        <v>141</v>
      </c>
      <c r="C122" s="88"/>
      <c r="D122" s="88"/>
      <c r="E122" s="354">
        <f t="shared" ref="E122:E123" si="65">SUM(C122:D122)</f>
        <v>0</v>
      </c>
      <c r="F122" s="355">
        <f>J122+L122+N122+P122+R122+T122+V122+X122</f>
        <v>0</v>
      </c>
      <c r="G122" s="355">
        <f>K122+M122+O122+Q122+S122+U122+W122+Y122</f>
        <v>0</v>
      </c>
      <c r="H122" s="359">
        <f>SUM(F122:G122)</f>
        <v>0</v>
      </c>
      <c r="I122" s="405" t="e">
        <f>H122/E122*100</f>
        <v>#DIV/0!</v>
      </c>
      <c r="J122" s="490"/>
      <c r="K122" s="601"/>
      <c r="L122" s="491"/>
      <c r="M122" s="492"/>
      <c r="N122" s="493"/>
      <c r="O122" s="494"/>
      <c r="P122" s="491"/>
      <c r="Q122" s="492"/>
      <c r="R122" s="490"/>
      <c r="S122" s="497"/>
      <c r="T122" s="495"/>
      <c r="U122" s="495"/>
      <c r="V122" s="495"/>
      <c r="W122" s="495"/>
      <c r="X122" s="495"/>
      <c r="Y122" s="492"/>
      <c r="Z122" s="116"/>
      <c r="AA122" s="116"/>
      <c r="AB122" s="116"/>
      <c r="AC122" s="116"/>
      <c r="AD122" s="116"/>
      <c r="AE122" s="487"/>
      <c r="AF122" s="487"/>
      <c r="AG122" s="487"/>
      <c r="AH122" s="487"/>
      <c r="AI122" s="487"/>
      <c r="AJ122" s="487"/>
      <c r="AK122" s="487"/>
      <c r="AL122" s="487"/>
      <c r="AM122" s="487"/>
      <c r="AN122" s="487"/>
      <c r="AO122" s="487"/>
      <c r="AP122" s="487"/>
      <c r="AQ122" s="487"/>
      <c r="AR122" s="487"/>
      <c r="AS122" s="487"/>
      <c r="AT122" s="487"/>
      <c r="AU122" s="487"/>
      <c r="AV122" s="487"/>
      <c r="AW122" s="487"/>
      <c r="AX122" s="487"/>
      <c r="AY122" s="487"/>
      <c r="AZ122" s="487"/>
      <c r="BA122" s="487"/>
      <c r="BB122" s="487"/>
      <c r="BC122" s="487"/>
      <c r="BD122" s="487"/>
      <c r="BE122" s="487"/>
      <c r="BF122" s="487"/>
      <c r="BG122" s="487"/>
      <c r="BH122" s="487"/>
      <c r="BI122" s="487"/>
      <c r="BJ122" s="487"/>
      <c r="BK122" s="487"/>
      <c r="BL122" s="487"/>
      <c r="BM122" s="487"/>
      <c r="BN122" s="487"/>
      <c r="BO122" s="487"/>
      <c r="BP122" s="487"/>
      <c r="BQ122" s="487"/>
      <c r="BR122" s="487"/>
      <c r="BS122" s="487"/>
      <c r="BT122" s="487"/>
      <c r="BU122" s="487"/>
      <c r="BV122" s="487"/>
      <c r="BW122" s="487"/>
      <c r="BX122" s="487"/>
      <c r="BY122" s="487"/>
      <c r="BZ122" s="487"/>
    </row>
    <row r="123" spans="1:120" s="488" customFormat="1" ht="16.5" customHeight="1" thickBot="1" x14ac:dyDescent="0.3">
      <c r="A123" s="753"/>
      <c r="B123" s="60" t="s">
        <v>142</v>
      </c>
      <c r="C123" s="82"/>
      <c r="D123" s="82"/>
      <c r="E123" s="354">
        <f t="shared" si="65"/>
        <v>0</v>
      </c>
      <c r="F123" s="355">
        <f t="shared" ref="F123:G123" si="66">J123+L123+N123+P123+R123+T123+V123+X123</f>
        <v>0</v>
      </c>
      <c r="G123" s="355">
        <f t="shared" si="66"/>
        <v>0</v>
      </c>
      <c r="H123" s="359">
        <f t="shared" ref="H123" si="67">SUM(F123:G123)</f>
        <v>0</v>
      </c>
      <c r="I123" s="406" t="e">
        <f t="shared" ref="I123" si="68">H123/E123*100</f>
        <v>#DIV/0!</v>
      </c>
      <c r="J123" s="491"/>
      <c r="K123" s="495"/>
      <c r="L123" s="491"/>
      <c r="M123" s="495"/>
      <c r="N123" s="491"/>
      <c r="O123" s="494"/>
      <c r="P123" s="491"/>
      <c r="Q123" s="492"/>
      <c r="R123" s="491"/>
      <c r="S123" s="495"/>
      <c r="T123" s="491"/>
      <c r="U123" s="495"/>
      <c r="V123" s="491"/>
      <c r="W123" s="494"/>
      <c r="X123" s="491"/>
      <c r="Y123" s="492"/>
      <c r="Z123" s="116"/>
      <c r="AA123" s="116"/>
      <c r="AB123" s="116"/>
      <c r="AC123" s="116"/>
      <c r="AD123" s="116"/>
      <c r="AE123" s="487"/>
      <c r="AF123" s="487"/>
      <c r="AG123" s="487"/>
      <c r="AH123" s="487"/>
      <c r="AI123" s="487"/>
      <c r="AJ123" s="487"/>
      <c r="AK123" s="487"/>
      <c r="AL123" s="487"/>
      <c r="AM123" s="487"/>
      <c r="AN123" s="487"/>
      <c r="AO123" s="487"/>
      <c r="AP123" s="487"/>
      <c r="AQ123" s="487"/>
      <c r="AR123" s="487"/>
      <c r="AS123" s="487"/>
      <c r="AT123" s="487"/>
      <c r="AU123" s="487"/>
      <c r="AV123" s="487"/>
      <c r="AW123" s="487"/>
      <c r="AX123" s="487"/>
      <c r="AY123" s="487"/>
      <c r="AZ123" s="487"/>
      <c r="BA123" s="487"/>
      <c r="BB123" s="487"/>
      <c r="BC123" s="487"/>
      <c r="BD123" s="487"/>
      <c r="BE123" s="487"/>
      <c r="BF123" s="487"/>
      <c r="BG123" s="487"/>
      <c r="BH123" s="487"/>
      <c r="BI123" s="487"/>
      <c r="BJ123" s="487"/>
      <c r="BK123" s="487"/>
      <c r="BL123" s="487"/>
      <c r="BM123" s="487"/>
      <c r="BN123" s="487"/>
      <c r="BO123" s="487"/>
      <c r="BP123" s="487"/>
      <c r="BQ123" s="487"/>
      <c r="BR123" s="487"/>
      <c r="BS123" s="487"/>
      <c r="BT123" s="487"/>
      <c r="BU123" s="487"/>
      <c r="BV123" s="487"/>
      <c r="BW123" s="487"/>
      <c r="BX123" s="487"/>
      <c r="BY123" s="487"/>
      <c r="BZ123" s="487"/>
    </row>
    <row r="124" spans="1:120" s="480" customFormat="1" ht="16.5" thickTop="1" thickBot="1" x14ac:dyDescent="0.3">
      <c r="A124" s="769" t="s">
        <v>207</v>
      </c>
      <c r="B124" s="770"/>
      <c r="C124" s="541"/>
      <c r="D124" s="541"/>
      <c r="E124" s="360">
        <f>SUM(C124:D124)</f>
        <v>0</v>
      </c>
      <c r="F124" s="361">
        <f>J124+L124+N124+P124</f>
        <v>2</v>
      </c>
      <c r="G124" s="361">
        <f>K124+M124+O124+Q124</f>
        <v>0</v>
      </c>
      <c r="H124" s="362">
        <f>SUM(F124:G124)</f>
        <v>2</v>
      </c>
      <c r="I124" s="406" t="e">
        <f t="shared" si="57"/>
        <v>#DIV/0!</v>
      </c>
      <c r="J124" s="364">
        <f t="shared" ref="J124:Q124" si="69">SUM(J110:J123)</f>
        <v>0</v>
      </c>
      <c r="K124" s="364">
        <f t="shared" si="69"/>
        <v>0</v>
      </c>
      <c r="L124" s="364">
        <f t="shared" si="69"/>
        <v>0</v>
      </c>
      <c r="M124" s="364">
        <f t="shared" si="69"/>
        <v>0</v>
      </c>
      <c r="N124" s="364">
        <f t="shared" si="69"/>
        <v>1</v>
      </c>
      <c r="O124" s="364">
        <f t="shared" si="69"/>
        <v>0</v>
      </c>
      <c r="P124" s="364">
        <f t="shared" si="69"/>
        <v>1</v>
      </c>
      <c r="Q124" s="364">
        <f t="shared" si="69"/>
        <v>0</v>
      </c>
      <c r="R124" s="61"/>
      <c r="S124" s="62"/>
      <c r="T124" s="61"/>
      <c r="U124" s="62"/>
      <c r="V124" s="61"/>
      <c r="W124" s="62"/>
      <c r="X124" s="61"/>
      <c r="Y124" s="64"/>
      <c r="Z124" s="116"/>
      <c r="AA124" s="116"/>
      <c r="AB124" s="116"/>
      <c r="AC124" s="116"/>
      <c r="AD124" s="116"/>
    </row>
    <row r="125" spans="1:120" s="480" customFormat="1" ht="15.75" thickBot="1" x14ac:dyDescent="0.3">
      <c r="A125" s="784" t="s">
        <v>208</v>
      </c>
      <c r="B125" s="967"/>
      <c r="C125" s="542"/>
      <c r="D125" s="542"/>
      <c r="E125" s="354">
        <f>SUM(C125:D125)</f>
        <v>0</v>
      </c>
      <c r="F125" s="355">
        <f>R125+T125+V125+X125</f>
        <v>0</v>
      </c>
      <c r="G125" s="355">
        <f>S125+U125+W125+Y125</f>
        <v>0</v>
      </c>
      <c r="H125" s="355">
        <f>SUM(F125:G125)</f>
        <v>0</v>
      </c>
      <c r="I125" s="406" t="e">
        <f t="shared" si="57"/>
        <v>#DIV/0!</v>
      </c>
      <c r="J125" s="42"/>
      <c r="K125" s="43"/>
      <c r="L125" s="44"/>
      <c r="M125" s="43"/>
      <c r="N125" s="44"/>
      <c r="O125" s="43"/>
      <c r="P125" s="44"/>
      <c r="Q125" s="43"/>
      <c r="R125" s="367">
        <f t="shared" ref="R125:Y125" si="70">SUM(R110:R124)</f>
        <v>0</v>
      </c>
      <c r="S125" s="367">
        <f t="shared" si="70"/>
        <v>0</v>
      </c>
      <c r="T125" s="367">
        <f t="shared" si="70"/>
        <v>0</v>
      </c>
      <c r="U125" s="367">
        <f t="shared" si="70"/>
        <v>0</v>
      </c>
      <c r="V125" s="367">
        <f t="shared" si="70"/>
        <v>0</v>
      </c>
      <c r="W125" s="367">
        <f t="shared" si="70"/>
        <v>0</v>
      </c>
      <c r="X125" s="367">
        <f t="shared" si="70"/>
        <v>0</v>
      </c>
      <c r="Y125" s="367">
        <f t="shared" si="70"/>
        <v>0</v>
      </c>
      <c r="Z125" s="116"/>
      <c r="AA125" s="116"/>
      <c r="AB125" s="116"/>
      <c r="AC125" s="116"/>
    </row>
    <row r="126" spans="1:120" ht="20.25" customHeight="1" thickBot="1" x14ac:dyDescent="0.3">
      <c r="A126" s="968" t="s">
        <v>209</v>
      </c>
      <c r="B126" s="65" t="s">
        <v>210</v>
      </c>
      <c r="C126" s="66"/>
      <c r="D126" s="66"/>
      <c r="E126" s="66"/>
      <c r="F126" s="67"/>
      <c r="G126" s="68"/>
      <c r="H126" s="69"/>
      <c r="I126" s="368"/>
      <c r="J126" s="70"/>
      <c r="K126" s="71"/>
      <c r="L126" s="72"/>
      <c r="M126" s="73"/>
      <c r="N126" s="72"/>
      <c r="O126" s="73"/>
      <c r="P126" s="72"/>
      <c r="Q126" s="73"/>
      <c r="R126" s="72"/>
      <c r="S126" s="73"/>
      <c r="T126" s="72"/>
      <c r="U126" s="73"/>
      <c r="V126" s="72"/>
      <c r="W126" s="74"/>
      <c r="X126" s="72"/>
      <c r="Y126" s="75"/>
      <c r="AA126" s="480"/>
      <c r="AD126" s="480"/>
      <c r="AE126" s="480"/>
      <c r="AF126" s="480"/>
      <c r="AG126" s="480"/>
      <c r="AH126" s="480"/>
      <c r="AI126" s="480"/>
      <c r="AJ126" s="480"/>
      <c r="AK126" s="480"/>
      <c r="AL126" s="480"/>
      <c r="AM126" s="480"/>
      <c r="AN126" s="480"/>
      <c r="AO126" s="480"/>
      <c r="AP126" s="480"/>
      <c r="AQ126" s="480"/>
      <c r="AR126" s="480"/>
      <c r="AS126" s="480"/>
      <c r="AT126" s="480"/>
      <c r="AU126" s="480"/>
      <c r="AV126" s="480"/>
      <c r="AW126" s="480"/>
      <c r="AX126" s="480"/>
      <c r="AY126" s="480"/>
      <c r="AZ126" s="480"/>
      <c r="BA126" s="480"/>
      <c r="BB126" s="480"/>
      <c r="BC126" s="480"/>
      <c r="BD126" s="480"/>
      <c r="BE126" s="480"/>
      <c r="BF126" s="480"/>
      <c r="BW126" s="481"/>
      <c r="BX126" s="481"/>
      <c r="BY126" s="481"/>
      <c r="BZ126" s="481"/>
      <c r="CA126" s="481"/>
      <c r="CB126" s="481"/>
      <c r="CC126" s="481"/>
      <c r="CD126" s="481"/>
      <c r="CE126" s="481"/>
      <c r="CF126" s="481"/>
      <c r="CG126" s="481"/>
      <c r="CH126" s="481"/>
      <c r="CI126" s="481"/>
      <c r="CJ126" s="481"/>
      <c r="CK126" s="481"/>
      <c r="CL126" s="481"/>
      <c r="CM126" s="481"/>
      <c r="CN126" s="481"/>
      <c r="CO126" s="481"/>
      <c r="CP126" s="481"/>
      <c r="CQ126" s="481"/>
      <c r="CR126" s="481"/>
      <c r="CS126" s="481"/>
      <c r="CT126" s="481"/>
      <c r="CU126" s="481"/>
      <c r="CV126" s="481"/>
      <c r="CW126" s="481"/>
      <c r="CX126" s="481"/>
      <c r="CY126" s="481"/>
      <c r="CZ126" s="481"/>
      <c r="DA126" s="481"/>
      <c r="DB126" s="481"/>
      <c r="DC126" s="481"/>
      <c r="DD126" s="481"/>
      <c r="DE126" s="481"/>
      <c r="DF126" s="481"/>
      <c r="DG126" s="481"/>
      <c r="DH126" s="481"/>
      <c r="DI126" s="481"/>
      <c r="DJ126" s="481"/>
      <c r="DK126" s="481"/>
      <c r="DL126" s="481"/>
      <c r="DM126" s="481"/>
      <c r="DN126" s="481"/>
      <c r="DO126" s="481"/>
      <c r="DP126" s="481"/>
    </row>
    <row r="127" spans="1:120" ht="15.75" thickBot="1" x14ac:dyDescent="0.3">
      <c r="A127" s="969"/>
      <c r="B127" s="76" t="s">
        <v>211</v>
      </c>
      <c r="C127" s="543"/>
      <c r="D127" s="543"/>
      <c r="E127" s="370">
        <f>SUM(C127:D127)</f>
        <v>0</v>
      </c>
      <c r="F127" s="355">
        <f>J127+L127+N127+P127</f>
        <v>0</v>
      </c>
      <c r="G127" s="355">
        <f>K127+M127+O127+Q127</f>
        <v>0</v>
      </c>
      <c r="H127" s="359">
        <f>SUM(F127:G127)</f>
        <v>0</v>
      </c>
      <c r="I127" s="405" t="e">
        <f t="shared" si="57"/>
        <v>#DIV/0!</v>
      </c>
      <c r="J127" s="490"/>
      <c r="K127" s="497"/>
      <c r="L127" s="491"/>
      <c r="M127" s="495"/>
      <c r="N127" s="491"/>
      <c r="O127" s="495"/>
      <c r="P127" s="491"/>
      <c r="Q127" s="495"/>
      <c r="R127" s="77"/>
      <c r="S127" s="78"/>
      <c r="T127" s="77"/>
      <c r="U127" s="78"/>
      <c r="V127" s="77"/>
      <c r="W127" s="79"/>
      <c r="X127" s="77"/>
      <c r="Y127" s="80"/>
      <c r="AA127" s="480"/>
      <c r="AB127" s="480"/>
      <c r="AD127" s="480"/>
      <c r="AE127" s="480"/>
      <c r="AF127" s="480"/>
      <c r="AG127" s="480"/>
      <c r="AH127" s="480"/>
      <c r="AI127" s="480"/>
      <c r="AJ127" s="480"/>
      <c r="AK127" s="480"/>
      <c r="AL127" s="480"/>
      <c r="AM127" s="480"/>
      <c r="AN127" s="480"/>
      <c r="AO127" s="480"/>
      <c r="AP127" s="480"/>
      <c r="AQ127" s="480"/>
      <c r="AR127" s="480"/>
      <c r="AS127" s="480"/>
      <c r="AT127" s="480"/>
      <c r="AU127" s="480"/>
      <c r="AV127" s="480"/>
      <c r="AW127" s="480"/>
      <c r="AX127" s="480"/>
      <c r="AY127" s="480"/>
      <c r="AZ127" s="480"/>
      <c r="BA127" s="480"/>
      <c r="BB127" s="480"/>
      <c r="BC127" s="480"/>
      <c r="BD127" s="480"/>
      <c r="BE127" s="480"/>
      <c r="BF127" s="480"/>
      <c r="BW127" s="481"/>
      <c r="BX127" s="481"/>
      <c r="BY127" s="481"/>
      <c r="BZ127" s="481"/>
      <c r="CA127" s="481"/>
      <c r="CB127" s="481"/>
      <c r="CC127" s="481"/>
      <c r="CD127" s="481"/>
      <c r="CE127" s="481"/>
      <c r="CF127" s="481"/>
      <c r="CG127" s="481"/>
      <c r="CH127" s="481"/>
      <c r="CI127" s="481"/>
      <c r="CJ127" s="481"/>
      <c r="CK127" s="481"/>
      <c r="CL127" s="481"/>
      <c r="CM127" s="481"/>
      <c r="CN127" s="481"/>
      <c r="CO127" s="481"/>
      <c r="CP127" s="481"/>
      <c r="CQ127" s="481"/>
      <c r="CR127" s="481"/>
      <c r="CS127" s="481"/>
      <c r="CT127" s="481"/>
      <c r="CU127" s="481"/>
      <c r="CV127" s="481"/>
      <c r="CW127" s="481"/>
      <c r="CX127" s="481"/>
      <c r="CY127" s="481"/>
      <c r="CZ127" s="481"/>
      <c r="DA127" s="481"/>
      <c r="DB127" s="481"/>
      <c r="DC127" s="481"/>
      <c r="DD127" s="481"/>
      <c r="DE127" s="481"/>
      <c r="DF127" s="481"/>
      <c r="DG127" s="481"/>
      <c r="DH127" s="481"/>
      <c r="DI127" s="481"/>
      <c r="DJ127" s="481"/>
      <c r="DK127" s="481"/>
      <c r="DL127" s="481"/>
      <c r="DM127" s="481"/>
      <c r="DN127" s="481"/>
      <c r="DO127" s="481"/>
      <c r="DP127" s="481"/>
    </row>
    <row r="128" spans="1:120" s="502" customFormat="1" ht="30" customHeight="1" thickBot="1" x14ac:dyDescent="0.3">
      <c r="A128" s="969"/>
      <c r="B128" s="81" t="s">
        <v>212</v>
      </c>
      <c r="C128" s="82" t="s">
        <v>263</v>
      </c>
      <c r="D128" s="82" t="s">
        <v>263</v>
      </c>
      <c r="E128" s="82" t="s">
        <v>263</v>
      </c>
      <c r="F128" s="355">
        <f>J128+L128+N128</f>
        <v>0</v>
      </c>
      <c r="G128" s="355">
        <f>K128+M128+O128</f>
        <v>0</v>
      </c>
      <c r="H128" s="359">
        <f t="shared" ref="H128:H129" si="71">SUM(F128:G128)</f>
        <v>0</v>
      </c>
      <c r="I128" s="405" t="s">
        <v>263</v>
      </c>
      <c r="J128" s="498"/>
      <c r="K128" s="499"/>
      <c r="L128" s="500"/>
      <c r="M128" s="501"/>
      <c r="N128" s="491"/>
      <c r="O128" s="495"/>
      <c r="P128" s="77"/>
      <c r="Q128" s="78"/>
      <c r="R128" s="77"/>
      <c r="S128" s="78"/>
      <c r="T128" s="77"/>
      <c r="U128" s="78"/>
      <c r="V128" s="77"/>
      <c r="W128" s="79"/>
      <c r="X128" s="77"/>
      <c r="Y128" s="80"/>
      <c r="Z128" s="116"/>
      <c r="AA128" s="480"/>
      <c r="AB128" s="480"/>
      <c r="AC128" s="480"/>
      <c r="AD128" s="480"/>
      <c r="AE128" s="480"/>
      <c r="AF128" s="480"/>
      <c r="AG128" s="480"/>
      <c r="AH128" s="480"/>
      <c r="AI128" s="480"/>
      <c r="AJ128" s="480"/>
      <c r="AK128" s="480"/>
      <c r="AL128" s="480"/>
      <c r="AM128" s="480"/>
      <c r="AN128" s="480"/>
      <c r="AO128" s="480"/>
      <c r="AP128" s="480"/>
      <c r="AQ128" s="480"/>
      <c r="AR128" s="480"/>
      <c r="AS128" s="480"/>
      <c r="AT128" s="480"/>
      <c r="AU128" s="480"/>
      <c r="AV128" s="480"/>
      <c r="AW128" s="480"/>
      <c r="AX128" s="480"/>
      <c r="AY128" s="480"/>
      <c r="AZ128" s="480"/>
      <c r="BA128" s="480"/>
      <c r="BB128" s="480"/>
      <c r="BC128" s="480"/>
      <c r="BD128" s="480"/>
      <c r="BE128" s="480"/>
      <c r="BF128" s="480"/>
      <c r="BG128" s="480"/>
      <c r="BH128" s="480"/>
      <c r="BI128" s="480"/>
      <c r="BJ128" s="480"/>
      <c r="BK128" s="480"/>
      <c r="BL128" s="480"/>
      <c r="BM128" s="480"/>
      <c r="BN128" s="480"/>
      <c r="BO128" s="480"/>
      <c r="BP128" s="480"/>
      <c r="BQ128" s="480"/>
      <c r="BR128" s="480"/>
      <c r="BS128" s="480"/>
      <c r="BT128" s="480"/>
      <c r="BU128" s="480"/>
      <c r="BV128" s="480"/>
    </row>
    <row r="129" spans="1:120" ht="15.75" thickBot="1" x14ac:dyDescent="0.3">
      <c r="A129" s="969"/>
      <c r="B129" s="87" t="s">
        <v>213</v>
      </c>
      <c r="C129" s="88" t="s">
        <v>263</v>
      </c>
      <c r="D129" s="88" t="s">
        <v>263</v>
      </c>
      <c r="E129" s="88" t="s">
        <v>263</v>
      </c>
      <c r="F129" s="355">
        <f>N129</f>
        <v>0</v>
      </c>
      <c r="G129" s="355">
        <f>O129</f>
        <v>0</v>
      </c>
      <c r="H129" s="359">
        <f t="shared" si="71"/>
        <v>0</v>
      </c>
      <c r="I129" s="405" t="s">
        <v>263</v>
      </c>
      <c r="J129" s="77"/>
      <c r="K129" s="78"/>
      <c r="L129" s="77"/>
      <c r="M129" s="78"/>
      <c r="N129" s="500"/>
      <c r="O129" s="501"/>
      <c r="P129" s="77"/>
      <c r="Q129" s="78"/>
      <c r="R129" s="77"/>
      <c r="S129" s="78"/>
      <c r="T129" s="77"/>
      <c r="U129" s="78"/>
      <c r="V129" s="77"/>
      <c r="W129" s="79"/>
      <c r="X129" s="77"/>
      <c r="Y129" s="80"/>
      <c r="AA129" s="480"/>
      <c r="AB129" s="480"/>
      <c r="AC129" s="480"/>
      <c r="AD129" s="480"/>
      <c r="AE129" s="480"/>
      <c r="AF129" s="480"/>
      <c r="AG129" s="480"/>
      <c r="AH129" s="480"/>
      <c r="AI129" s="480"/>
      <c r="AJ129" s="480"/>
      <c r="AK129" s="480"/>
      <c r="AL129" s="480"/>
      <c r="AM129" s="480"/>
      <c r="AN129" s="480"/>
      <c r="AO129" s="480"/>
      <c r="AP129" s="480"/>
      <c r="AQ129" s="480"/>
      <c r="AR129" s="480"/>
      <c r="AS129" s="480"/>
      <c r="AT129" s="480"/>
      <c r="AU129" s="480"/>
      <c r="AV129" s="480"/>
      <c r="AW129" s="480"/>
      <c r="AX129" s="480"/>
      <c r="AY129" s="480"/>
      <c r="AZ129" s="480"/>
      <c r="BA129" s="480"/>
      <c r="BB129" s="480"/>
      <c r="BC129" s="480"/>
      <c r="BD129" s="480"/>
      <c r="BE129" s="480"/>
      <c r="BF129" s="480"/>
      <c r="BW129" s="481"/>
      <c r="BX129" s="481"/>
      <c r="BY129" s="481"/>
      <c r="BZ129" s="481"/>
      <c r="CA129" s="481"/>
      <c r="CB129" s="481"/>
      <c r="CC129" s="481"/>
      <c r="CD129" s="481"/>
      <c r="CE129" s="481"/>
      <c r="CF129" s="481"/>
      <c r="CG129" s="481"/>
      <c r="CH129" s="481"/>
      <c r="CI129" s="481"/>
      <c r="CJ129" s="481"/>
      <c r="CK129" s="481"/>
      <c r="CL129" s="481"/>
      <c r="CM129" s="481"/>
      <c r="CN129" s="481"/>
      <c r="CO129" s="481"/>
      <c r="CP129" s="481"/>
      <c r="CQ129" s="481"/>
      <c r="CR129" s="481"/>
      <c r="CS129" s="481"/>
      <c r="CT129" s="481"/>
      <c r="CU129" s="481"/>
      <c r="CV129" s="481"/>
      <c r="CW129" s="481"/>
      <c r="CX129" s="481"/>
      <c r="CY129" s="481"/>
      <c r="CZ129" s="481"/>
      <c r="DA129" s="481"/>
      <c r="DB129" s="481"/>
      <c r="DC129" s="481"/>
      <c r="DD129" s="481"/>
      <c r="DE129" s="481"/>
      <c r="DF129" s="481"/>
      <c r="DG129" s="481"/>
      <c r="DH129" s="481"/>
      <c r="DI129" s="481"/>
      <c r="DJ129" s="481"/>
      <c r="DK129" s="481"/>
      <c r="DL129" s="481"/>
      <c r="DM129" s="481"/>
      <c r="DN129" s="481"/>
      <c r="DO129" s="481"/>
      <c r="DP129" s="481"/>
    </row>
    <row r="130" spans="1:120" ht="20.25" customHeight="1" thickBot="1" x14ac:dyDescent="0.3">
      <c r="A130" s="969"/>
      <c r="B130" s="65" t="s">
        <v>214</v>
      </c>
      <c r="C130" s="89"/>
      <c r="D130" s="89"/>
      <c r="E130" s="89"/>
      <c r="F130" s="69"/>
      <c r="G130" s="69"/>
      <c r="H130" s="69"/>
      <c r="I130" s="368"/>
      <c r="J130" s="70"/>
      <c r="K130" s="71"/>
      <c r="L130" s="72"/>
      <c r="M130" s="73"/>
      <c r="N130" s="72"/>
      <c r="O130" s="73"/>
      <c r="P130" s="72"/>
      <c r="Q130" s="73"/>
      <c r="R130" s="72"/>
      <c r="S130" s="73"/>
      <c r="T130" s="72"/>
      <c r="U130" s="73"/>
      <c r="V130" s="72"/>
      <c r="W130" s="74"/>
      <c r="X130" s="72"/>
      <c r="Y130" s="75"/>
      <c r="AA130" s="480"/>
      <c r="AB130" s="480"/>
      <c r="AC130" s="480"/>
      <c r="AD130" s="480"/>
      <c r="AE130" s="480"/>
      <c r="AF130" s="480"/>
      <c r="AG130" s="480"/>
      <c r="AH130" s="480"/>
      <c r="AI130" s="480"/>
      <c r="AJ130" s="480"/>
      <c r="AK130" s="480"/>
      <c r="AL130" s="480"/>
      <c r="AM130" s="480"/>
      <c r="AN130" s="480"/>
      <c r="AO130" s="480"/>
      <c r="AP130" s="480"/>
      <c r="AQ130" s="480"/>
      <c r="AR130" s="480"/>
      <c r="AS130" s="480"/>
      <c r="AT130" s="480"/>
      <c r="AU130" s="480"/>
      <c r="AV130" s="480"/>
      <c r="AW130" s="480"/>
      <c r="AX130" s="480"/>
      <c r="AY130" s="480"/>
      <c r="AZ130" s="480"/>
      <c r="BA130" s="480"/>
      <c r="BB130" s="480"/>
      <c r="BC130" s="480"/>
      <c r="BD130" s="480"/>
      <c r="BE130" s="480"/>
      <c r="BF130" s="480"/>
      <c r="BW130" s="481"/>
      <c r="BX130" s="481"/>
      <c r="BY130" s="481"/>
      <c r="BZ130" s="481"/>
      <c r="CA130" s="481"/>
      <c r="CB130" s="481"/>
      <c r="CC130" s="481"/>
      <c r="CD130" s="481"/>
      <c r="CE130" s="481"/>
      <c r="CF130" s="481"/>
      <c r="CG130" s="481"/>
      <c r="CH130" s="481"/>
      <c r="CI130" s="481"/>
      <c r="CJ130" s="481"/>
      <c r="CK130" s="481"/>
      <c r="CL130" s="481"/>
      <c r="CM130" s="481"/>
      <c r="CN130" s="481"/>
      <c r="CO130" s="481"/>
      <c r="CP130" s="481"/>
      <c r="CQ130" s="481"/>
      <c r="CR130" s="481"/>
      <c r="CS130" s="481"/>
      <c r="CT130" s="481"/>
      <c r="CU130" s="481"/>
      <c r="CV130" s="481"/>
      <c r="CW130" s="481"/>
      <c r="CX130" s="481"/>
      <c r="CY130" s="481"/>
      <c r="CZ130" s="481"/>
      <c r="DA130" s="481"/>
      <c r="DB130" s="481"/>
      <c r="DC130" s="481"/>
      <c r="DD130" s="481"/>
      <c r="DE130" s="481"/>
      <c r="DF130" s="481"/>
      <c r="DG130" s="481"/>
      <c r="DH130" s="481"/>
      <c r="DI130" s="481"/>
      <c r="DJ130" s="481"/>
      <c r="DK130" s="481"/>
      <c r="DL130" s="481"/>
      <c r="DM130" s="481"/>
      <c r="DN130" s="481"/>
      <c r="DO130" s="481"/>
      <c r="DP130" s="481"/>
    </row>
    <row r="131" spans="1:120" ht="15.75" thickBot="1" x14ac:dyDescent="0.3">
      <c r="A131" s="970"/>
      <c r="B131" s="90" t="s">
        <v>215</v>
      </c>
      <c r="C131" s="88"/>
      <c r="D131" s="88"/>
      <c r="E131" s="373">
        <f>SUM(C131:D131)</f>
        <v>0</v>
      </c>
      <c r="F131" s="355">
        <f>N131+P131</f>
        <v>0</v>
      </c>
      <c r="G131" s="355">
        <f>O131+Q131</f>
        <v>0</v>
      </c>
      <c r="H131" s="359">
        <f>SUM(F131:G131)</f>
        <v>0</v>
      </c>
      <c r="I131" s="405" t="e">
        <f t="shared" si="57"/>
        <v>#DIV/0!</v>
      </c>
      <c r="J131" s="77"/>
      <c r="K131" s="78"/>
      <c r="L131" s="77"/>
      <c r="M131" s="78"/>
      <c r="N131" s="491"/>
      <c r="O131" s="495"/>
      <c r="P131" s="491"/>
      <c r="Q131" s="495"/>
      <c r="R131" s="77"/>
      <c r="S131" s="78"/>
      <c r="T131" s="77"/>
      <c r="U131" s="78"/>
      <c r="V131" s="77"/>
      <c r="W131" s="79"/>
      <c r="X131" s="77"/>
      <c r="Y131" s="80"/>
      <c r="AA131" s="480"/>
      <c r="AB131" s="480"/>
      <c r="AC131" s="480"/>
      <c r="AD131" s="480"/>
      <c r="AE131" s="480"/>
      <c r="AF131" s="480"/>
      <c r="AG131" s="480"/>
      <c r="AH131" s="480"/>
      <c r="AI131" s="480"/>
      <c r="AJ131" s="480"/>
      <c r="AK131" s="480"/>
      <c r="AL131" s="480"/>
      <c r="AM131" s="480"/>
      <c r="AN131" s="480"/>
      <c r="AO131" s="480"/>
      <c r="AP131" s="480"/>
      <c r="AQ131" s="480"/>
      <c r="AR131" s="480"/>
      <c r="AS131" s="480"/>
      <c r="AT131" s="480"/>
      <c r="AU131" s="480"/>
      <c r="AV131" s="480"/>
      <c r="AW131" s="480"/>
      <c r="AX131" s="480"/>
      <c r="AY131" s="480"/>
      <c r="AZ131" s="480"/>
      <c r="BA131" s="480"/>
      <c r="BB131" s="480"/>
      <c r="BC131" s="480"/>
      <c r="BD131" s="480"/>
      <c r="BE131" s="480"/>
      <c r="BF131" s="480"/>
      <c r="BW131" s="481"/>
      <c r="BX131" s="481"/>
      <c r="BY131" s="481"/>
      <c r="BZ131" s="481"/>
      <c r="CA131" s="481"/>
      <c r="CB131" s="481"/>
      <c r="CC131" s="481"/>
      <c r="CD131" s="481"/>
      <c r="CE131" s="481"/>
      <c r="CF131" s="481"/>
      <c r="CG131" s="481"/>
      <c r="CH131" s="481"/>
      <c r="CI131" s="481"/>
      <c r="CJ131" s="481"/>
      <c r="CK131" s="481"/>
      <c r="CL131" s="481"/>
      <c r="CM131" s="481"/>
      <c r="CN131" s="481"/>
      <c r="CO131" s="481"/>
      <c r="CP131" s="481"/>
      <c r="CQ131" s="481"/>
      <c r="CR131" s="481"/>
      <c r="CS131" s="481"/>
      <c r="CT131" s="481"/>
      <c r="CU131" s="481"/>
      <c r="CV131" s="481"/>
      <c r="CW131" s="481"/>
      <c r="CX131" s="481"/>
      <c r="CY131" s="481"/>
      <c r="CZ131" s="481"/>
      <c r="DA131" s="481"/>
      <c r="DB131" s="481"/>
      <c r="DC131" s="481"/>
      <c r="DD131" s="481"/>
      <c r="DE131" s="481"/>
      <c r="DF131" s="481"/>
      <c r="DG131" s="481"/>
      <c r="DH131" s="481"/>
      <c r="DI131" s="481"/>
      <c r="DJ131" s="481"/>
      <c r="DK131" s="481"/>
      <c r="DL131" s="481"/>
      <c r="DM131" s="481"/>
      <c r="DN131" s="481"/>
      <c r="DO131" s="481"/>
      <c r="DP131" s="481"/>
    </row>
    <row r="132" spans="1:120" ht="15.75" thickBot="1" x14ac:dyDescent="0.3">
      <c r="A132" s="970"/>
      <c r="B132" s="91" t="s">
        <v>216</v>
      </c>
      <c r="C132" s="88"/>
      <c r="D132" s="88"/>
      <c r="E132" s="373">
        <f>SUM(C132:D132)</f>
        <v>0</v>
      </c>
      <c r="F132" s="374">
        <f>R132+T132</f>
        <v>0</v>
      </c>
      <c r="G132" s="374">
        <f>S132+U132</f>
        <v>0</v>
      </c>
      <c r="H132" s="359">
        <f>SUM(F132:G132)</f>
        <v>0</v>
      </c>
      <c r="I132" s="405" t="e">
        <f t="shared" si="57"/>
        <v>#DIV/0!</v>
      </c>
      <c r="J132" s="92"/>
      <c r="K132" s="93"/>
      <c r="L132" s="92"/>
      <c r="M132" s="93"/>
      <c r="N132" s="92"/>
      <c r="O132" s="93"/>
      <c r="P132" s="92"/>
      <c r="Q132" s="93"/>
      <c r="R132" s="504"/>
      <c r="S132" s="505"/>
      <c r="T132" s="504"/>
      <c r="U132" s="505"/>
      <c r="V132" s="92"/>
      <c r="W132" s="95"/>
      <c r="X132" s="92"/>
      <c r="Y132" s="96"/>
      <c r="AA132" s="480"/>
      <c r="AB132" s="480"/>
      <c r="AC132" s="480"/>
      <c r="AD132" s="480"/>
      <c r="AE132" s="480"/>
      <c r="AF132" s="480"/>
      <c r="AG132" s="480"/>
      <c r="AH132" s="480"/>
      <c r="AI132" s="480"/>
      <c r="AJ132" s="480"/>
      <c r="AK132" s="480"/>
      <c r="AL132" s="480"/>
      <c r="AM132" s="480"/>
      <c r="AN132" s="480"/>
      <c r="AO132" s="480"/>
      <c r="AP132" s="480"/>
      <c r="AQ132" s="480"/>
      <c r="AR132" s="480"/>
      <c r="AS132" s="480"/>
      <c r="AT132" s="480"/>
      <c r="AU132" s="480"/>
      <c r="AV132" s="480"/>
      <c r="AW132" s="480"/>
      <c r="AX132" s="480"/>
      <c r="AY132" s="480"/>
      <c r="AZ132" s="480"/>
      <c r="BA132" s="480"/>
      <c r="BB132" s="480"/>
      <c r="BC132" s="480"/>
      <c r="BD132" s="480"/>
      <c r="BE132" s="480"/>
      <c r="BF132" s="480"/>
      <c r="BW132" s="481"/>
      <c r="BX132" s="481"/>
      <c r="BY132" s="481"/>
      <c r="BZ132" s="481"/>
      <c r="CA132" s="481"/>
      <c r="CB132" s="481"/>
      <c r="CC132" s="481"/>
      <c r="CD132" s="481"/>
      <c r="CE132" s="481"/>
      <c r="CF132" s="481"/>
      <c r="CG132" s="481"/>
      <c r="CH132" s="481"/>
      <c r="CI132" s="481"/>
      <c r="CJ132" s="481"/>
      <c r="CK132" s="481"/>
      <c r="CL132" s="481"/>
      <c r="CM132" s="481"/>
      <c r="CN132" s="481"/>
      <c r="CO132" s="481"/>
      <c r="CP132" s="481"/>
      <c r="CQ132" s="481"/>
      <c r="CR132" s="481"/>
      <c r="CS132" s="481"/>
      <c r="CT132" s="481"/>
      <c r="CU132" s="481"/>
      <c r="CV132" s="481"/>
      <c r="CW132" s="481"/>
      <c r="CX132" s="481"/>
      <c r="CY132" s="481"/>
      <c r="CZ132" s="481"/>
      <c r="DA132" s="481"/>
      <c r="DB132" s="481"/>
      <c r="DC132" s="481"/>
      <c r="DD132" s="481"/>
      <c r="DE132" s="481"/>
      <c r="DF132" s="481"/>
      <c r="DG132" s="481"/>
      <c r="DH132" s="481"/>
      <c r="DI132" s="481"/>
      <c r="DJ132" s="481"/>
      <c r="DK132" s="481"/>
      <c r="DL132" s="481"/>
      <c r="DM132" s="481"/>
      <c r="DN132" s="481"/>
      <c r="DO132" s="481"/>
      <c r="DP132" s="481"/>
    </row>
    <row r="133" spans="1:120" ht="48.75" customHeight="1" thickTop="1" thickBot="1" x14ac:dyDescent="0.3">
      <c r="A133" s="1024" t="s">
        <v>217</v>
      </c>
      <c r="B133" s="755"/>
      <c r="C133" s="375">
        <f>SUM(C124:C132)</f>
        <v>0</v>
      </c>
      <c r="D133" s="375">
        <f t="shared" ref="D133:E133" si="72">SUM(D124:D132)</f>
        <v>0</v>
      </c>
      <c r="E133" s="375">
        <f t="shared" si="72"/>
        <v>0</v>
      </c>
      <c r="F133" s="376">
        <f>SUM(F124:F132)</f>
        <v>2</v>
      </c>
      <c r="G133" s="375">
        <f>SUM(G124:G132)</f>
        <v>0</v>
      </c>
      <c r="H133" s="359">
        <f>SUM(F133:G133)</f>
        <v>2</v>
      </c>
      <c r="I133" s="406" t="e">
        <f t="shared" si="57"/>
        <v>#DIV/0!</v>
      </c>
      <c r="J133" s="377">
        <f>SUM(J124:J132)</f>
        <v>0</v>
      </c>
      <c r="K133" s="378">
        <f t="shared" ref="K133:Y133" si="73">SUM(K124:K132)</f>
        <v>0</v>
      </c>
      <c r="L133" s="378">
        <f t="shared" si="73"/>
        <v>0</v>
      </c>
      <c r="M133" s="378">
        <f t="shared" si="73"/>
        <v>0</v>
      </c>
      <c r="N133" s="378">
        <f>SUM(N124:N132)</f>
        <v>1</v>
      </c>
      <c r="O133" s="378">
        <f t="shared" si="73"/>
        <v>0</v>
      </c>
      <c r="P133" s="378">
        <f t="shared" si="73"/>
        <v>1</v>
      </c>
      <c r="Q133" s="378">
        <f t="shared" si="73"/>
        <v>0</v>
      </c>
      <c r="R133" s="378">
        <f t="shared" si="73"/>
        <v>0</v>
      </c>
      <c r="S133" s="378">
        <f t="shared" si="73"/>
        <v>0</v>
      </c>
      <c r="T133" s="378">
        <f>SUM(T124:T132)</f>
        <v>0</v>
      </c>
      <c r="U133" s="378">
        <f t="shared" si="73"/>
        <v>0</v>
      </c>
      <c r="V133" s="378">
        <f t="shared" si="73"/>
        <v>0</v>
      </c>
      <c r="W133" s="379">
        <f t="shared" si="73"/>
        <v>0</v>
      </c>
      <c r="X133" s="380">
        <f>SUM(X124:X132)</f>
        <v>0</v>
      </c>
      <c r="Y133" s="381">
        <f t="shared" si="73"/>
        <v>0</v>
      </c>
      <c r="BF133" s="480"/>
      <c r="DP133" s="481"/>
    </row>
    <row r="134" spans="1:120" x14ac:dyDescent="0.25">
      <c r="BC134" s="480"/>
      <c r="BD134" s="480"/>
      <c r="BE134" s="480"/>
      <c r="BF134" s="480"/>
      <c r="DM134" s="481"/>
      <c r="DN134" s="481"/>
      <c r="DO134" s="481"/>
      <c r="DP134" s="481"/>
    </row>
    <row r="135" spans="1:120" x14ac:dyDescent="0.25">
      <c r="BC135" s="480"/>
      <c r="BD135" s="480"/>
      <c r="BE135" s="480"/>
      <c r="BF135" s="480"/>
      <c r="DM135" s="481"/>
      <c r="DN135" s="481"/>
      <c r="DO135" s="481"/>
      <c r="DP135" s="481"/>
    </row>
    <row r="136" spans="1:120" ht="15.75" thickBot="1" x14ac:dyDescent="0.3">
      <c r="BC136" s="480"/>
      <c r="BD136" s="480"/>
      <c r="BE136" s="480"/>
      <c r="BF136" s="480"/>
      <c r="DM136" s="481"/>
      <c r="DN136" s="481"/>
      <c r="DO136" s="481"/>
      <c r="DP136" s="481"/>
    </row>
    <row r="137" spans="1:120" s="488" customFormat="1" ht="61.5" customHeight="1" x14ac:dyDescent="0.25">
      <c r="A137" s="925" t="s">
        <v>178</v>
      </c>
      <c r="B137" s="866"/>
      <c r="C137" s="711" t="s">
        <v>322</v>
      </c>
      <c r="D137" s="712"/>
      <c r="E137" s="713"/>
      <c r="F137" s="927" t="s">
        <v>303</v>
      </c>
      <c r="G137" s="928"/>
      <c r="H137" s="1019"/>
      <c r="I137" s="1020" t="s">
        <v>323</v>
      </c>
      <c r="J137" s="930" t="s">
        <v>182</v>
      </c>
      <c r="K137" s="931"/>
      <c r="L137" s="932" t="s">
        <v>183</v>
      </c>
      <c r="M137" s="933"/>
      <c r="N137" s="934" t="s">
        <v>184</v>
      </c>
      <c r="O137" s="935"/>
      <c r="P137" s="936" t="s">
        <v>185</v>
      </c>
      <c r="Q137" s="937"/>
      <c r="R137" s="948" t="s">
        <v>186</v>
      </c>
      <c r="S137" s="949"/>
      <c r="T137" s="950" t="s">
        <v>187</v>
      </c>
      <c r="U137" s="951"/>
      <c r="V137" s="952" t="s">
        <v>188</v>
      </c>
      <c r="W137" s="953"/>
      <c r="X137" s="954" t="s">
        <v>189</v>
      </c>
      <c r="Y137" s="955"/>
      <c r="Z137" s="116"/>
      <c r="AA137" s="487"/>
      <c r="AB137" s="487"/>
      <c r="AC137" s="487"/>
      <c r="AD137" s="487"/>
      <c r="AE137" s="487"/>
      <c r="AF137" s="487"/>
      <c r="AG137" s="487"/>
      <c r="AH137" s="487"/>
      <c r="AI137" s="487"/>
      <c r="AJ137" s="487"/>
      <c r="AK137" s="487"/>
      <c r="AL137" s="487"/>
      <c r="AM137" s="487"/>
      <c r="AN137" s="487"/>
      <c r="AO137" s="487"/>
      <c r="AP137" s="487"/>
      <c r="AQ137" s="487"/>
      <c r="AR137" s="487"/>
      <c r="AS137" s="487"/>
      <c r="AT137" s="487"/>
      <c r="AU137" s="487"/>
      <c r="AV137" s="487"/>
      <c r="AW137" s="487"/>
      <c r="AX137" s="487"/>
      <c r="AY137" s="487"/>
      <c r="AZ137" s="487"/>
      <c r="BA137" s="487"/>
      <c r="BB137" s="487"/>
      <c r="BC137" s="487"/>
      <c r="BD137" s="487"/>
      <c r="BE137" s="487"/>
      <c r="BF137" s="487"/>
      <c r="BG137" s="487"/>
      <c r="BH137" s="487"/>
      <c r="BI137" s="487"/>
      <c r="BJ137" s="487"/>
      <c r="BK137" s="487"/>
      <c r="BL137" s="487"/>
      <c r="BM137" s="487"/>
      <c r="BN137" s="487"/>
      <c r="BO137" s="487"/>
      <c r="BP137" s="487"/>
      <c r="BQ137" s="487"/>
      <c r="BR137" s="487"/>
      <c r="BS137" s="487"/>
      <c r="BT137" s="487"/>
      <c r="BU137" s="487"/>
      <c r="BV137" s="487"/>
    </row>
    <row r="138" spans="1:120" s="488" customFormat="1" ht="15.75" customHeight="1" x14ac:dyDescent="0.25">
      <c r="A138" s="926"/>
      <c r="B138" s="868"/>
      <c r="C138" s="719" t="s">
        <v>192</v>
      </c>
      <c r="D138" s="728"/>
      <c r="E138" s="729"/>
      <c r="F138" s="956" t="s">
        <v>192</v>
      </c>
      <c r="G138" s="957"/>
      <c r="H138" s="1023"/>
      <c r="I138" s="1021"/>
      <c r="J138" s="961" t="s">
        <v>192</v>
      </c>
      <c r="K138" s="962"/>
      <c r="L138" s="963" t="s">
        <v>192</v>
      </c>
      <c r="M138" s="964"/>
      <c r="N138" s="965" t="s">
        <v>192</v>
      </c>
      <c r="O138" s="966"/>
      <c r="P138" s="938" t="s">
        <v>192</v>
      </c>
      <c r="Q138" s="939"/>
      <c r="R138" s="940" t="s">
        <v>192</v>
      </c>
      <c r="S138" s="941"/>
      <c r="T138" s="942" t="s">
        <v>192</v>
      </c>
      <c r="U138" s="943"/>
      <c r="V138" s="944" t="s">
        <v>192</v>
      </c>
      <c r="W138" s="945"/>
      <c r="X138" s="946" t="s">
        <v>192</v>
      </c>
      <c r="Y138" s="947"/>
      <c r="Z138" s="116"/>
      <c r="AA138" s="487"/>
      <c r="AB138" s="487"/>
      <c r="AC138" s="487"/>
      <c r="AD138" s="487"/>
      <c r="AE138" s="487"/>
      <c r="AF138" s="487"/>
      <c r="AG138" s="487"/>
      <c r="AH138" s="487"/>
      <c r="AI138" s="487"/>
      <c r="AJ138" s="487"/>
      <c r="AK138" s="487"/>
      <c r="AL138" s="487"/>
      <c r="AM138" s="487"/>
      <c r="AN138" s="487"/>
      <c r="AO138" s="487"/>
      <c r="AP138" s="487"/>
      <c r="AQ138" s="487"/>
      <c r="AR138" s="487"/>
      <c r="AS138" s="487"/>
      <c r="AT138" s="487"/>
      <c r="AU138" s="487"/>
      <c r="AV138" s="487"/>
      <c r="AW138" s="487"/>
      <c r="AX138" s="487"/>
      <c r="AY138" s="487"/>
      <c r="AZ138" s="487"/>
      <c r="BA138" s="487"/>
      <c r="BB138" s="487"/>
      <c r="BC138" s="487"/>
      <c r="BD138" s="487"/>
      <c r="BE138" s="487"/>
      <c r="BF138" s="487"/>
      <c r="BG138" s="487"/>
      <c r="BH138" s="487"/>
      <c r="BI138" s="487"/>
      <c r="BJ138" s="487"/>
      <c r="BK138" s="487"/>
      <c r="BL138" s="487"/>
      <c r="BM138" s="487"/>
      <c r="BN138" s="487"/>
      <c r="BO138" s="487"/>
      <c r="BP138" s="487"/>
      <c r="BQ138" s="487"/>
      <c r="BR138" s="487"/>
      <c r="BS138" s="487"/>
      <c r="BT138" s="487"/>
      <c r="BU138" s="487"/>
      <c r="BV138" s="487"/>
    </row>
    <row r="139" spans="1:120" s="488" customFormat="1" ht="15.75" thickBot="1" x14ac:dyDescent="0.3">
      <c r="A139" s="806"/>
      <c r="B139" s="807"/>
      <c r="C139" s="31" t="s">
        <v>158</v>
      </c>
      <c r="D139" s="179" t="s">
        <v>156</v>
      </c>
      <c r="E139" s="121" t="s">
        <v>193</v>
      </c>
      <c r="F139" s="334" t="s">
        <v>158</v>
      </c>
      <c r="G139" s="335" t="s">
        <v>156</v>
      </c>
      <c r="H139" s="333" t="s">
        <v>193</v>
      </c>
      <c r="I139" s="1022"/>
      <c r="J139" s="337" t="s">
        <v>158</v>
      </c>
      <c r="K139" s="338" t="s">
        <v>156</v>
      </c>
      <c r="L139" s="339" t="s">
        <v>158</v>
      </c>
      <c r="M139" s="340" t="s">
        <v>156</v>
      </c>
      <c r="N139" s="341" t="s">
        <v>158</v>
      </c>
      <c r="O139" s="342" t="s">
        <v>156</v>
      </c>
      <c r="P139" s="343" t="s">
        <v>158</v>
      </c>
      <c r="Q139" s="344" t="s">
        <v>156</v>
      </c>
      <c r="R139" s="345" t="s">
        <v>158</v>
      </c>
      <c r="S139" s="346" t="s">
        <v>156</v>
      </c>
      <c r="T139" s="347" t="s">
        <v>158</v>
      </c>
      <c r="U139" s="348" t="s">
        <v>156</v>
      </c>
      <c r="V139" s="349" t="s">
        <v>158</v>
      </c>
      <c r="W139" s="350" t="s">
        <v>156</v>
      </c>
      <c r="X139" s="351" t="s">
        <v>158</v>
      </c>
      <c r="Y139" s="352" t="s">
        <v>156</v>
      </c>
      <c r="Z139" s="116"/>
      <c r="AA139" s="487"/>
      <c r="AB139" s="487"/>
      <c r="AC139" s="487"/>
      <c r="AD139" s="487"/>
      <c r="AE139" s="487"/>
      <c r="AF139" s="487"/>
      <c r="AG139" s="487"/>
      <c r="AH139" s="487"/>
      <c r="AI139" s="487"/>
      <c r="AJ139" s="487"/>
      <c r="AK139" s="487"/>
      <c r="AL139" s="487"/>
      <c r="AM139" s="487"/>
      <c r="AN139" s="487"/>
      <c r="AO139" s="487"/>
      <c r="AP139" s="487"/>
      <c r="AQ139" s="487"/>
      <c r="AR139" s="487"/>
      <c r="AS139" s="487"/>
      <c r="AT139" s="487"/>
      <c r="AU139" s="487"/>
      <c r="AV139" s="487"/>
      <c r="AW139" s="487"/>
      <c r="AX139" s="487"/>
      <c r="AY139" s="487"/>
      <c r="AZ139" s="487"/>
      <c r="BA139" s="487"/>
      <c r="BB139" s="487"/>
      <c r="BC139" s="487"/>
      <c r="BD139" s="487"/>
      <c r="BE139" s="487"/>
      <c r="BF139" s="487"/>
      <c r="BG139" s="487"/>
      <c r="BH139" s="487"/>
      <c r="BI139" s="487"/>
      <c r="BJ139" s="487"/>
      <c r="BK139" s="487"/>
      <c r="BL139" s="487"/>
      <c r="BM139" s="487"/>
      <c r="BN139" s="487"/>
      <c r="BO139" s="487"/>
      <c r="BP139" s="487"/>
      <c r="BQ139" s="487"/>
      <c r="BR139" s="487"/>
      <c r="BS139" s="487"/>
      <c r="BT139" s="487"/>
      <c r="BU139" s="487"/>
      <c r="BV139" s="487"/>
    </row>
    <row r="140" spans="1:120" s="488" customFormat="1" ht="58.5" customHeight="1" thickBot="1" x14ac:dyDescent="0.3">
      <c r="A140" s="723" t="s">
        <v>195</v>
      </c>
      <c r="B140" s="724"/>
      <c r="C140" s="538"/>
      <c r="D140" s="538"/>
      <c r="E140" s="354">
        <f>SUM(C140:D140)</f>
        <v>0</v>
      </c>
      <c r="F140" s="355">
        <f>J140+L140+N140+P140</f>
        <v>0</v>
      </c>
      <c r="G140" s="355">
        <f>K140+M140+O140+Q140</f>
        <v>8</v>
      </c>
      <c r="H140" s="355">
        <f>SUM(F140:G140)</f>
        <v>8</v>
      </c>
      <c r="I140" s="405" t="e">
        <f>H140/E140*100</f>
        <v>#DIV/0!</v>
      </c>
      <c r="J140" s="490"/>
      <c r="K140" s="601"/>
      <c r="L140" s="491"/>
      <c r="M140" s="492"/>
      <c r="N140" s="493"/>
      <c r="O140" s="494">
        <v>6</v>
      </c>
      <c r="P140" s="491"/>
      <c r="Q140" s="492">
        <v>2</v>
      </c>
      <c r="R140" s="38"/>
      <c r="S140" s="39"/>
      <c r="T140" s="38"/>
      <c r="U140" s="39"/>
      <c r="V140" s="38"/>
      <c r="W140" s="40"/>
      <c r="X140" s="38"/>
      <c r="Y140" s="41"/>
      <c r="Z140" s="116"/>
      <c r="AA140" s="487"/>
      <c r="AB140" s="487"/>
      <c r="AC140" s="487"/>
      <c r="AD140" s="487"/>
      <c r="AE140" s="487"/>
      <c r="AF140" s="487"/>
      <c r="AG140" s="487"/>
      <c r="AH140" s="487"/>
      <c r="AI140" s="487"/>
      <c r="AJ140" s="487"/>
      <c r="AK140" s="487"/>
      <c r="AL140" s="487"/>
      <c r="AM140" s="487"/>
      <c r="AN140" s="487"/>
      <c r="AO140" s="487"/>
      <c r="AP140" s="487"/>
      <c r="AQ140" s="487"/>
      <c r="AR140" s="487"/>
      <c r="AS140" s="487"/>
      <c r="AT140" s="487"/>
      <c r="AU140" s="487"/>
      <c r="AV140" s="487"/>
      <c r="AW140" s="487"/>
      <c r="AX140" s="487"/>
      <c r="AY140" s="487"/>
      <c r="AZ140" s="487"/>
      <c r="BA140" s="487"/>
      <c r="BB140" s="487"/>
      <c r="BC140" s="487"/>
      <c r="BD140" s="487"/>
      <c r="BE140" s="487"/>
      <c r="BF140" s="487"/>
      <c r="BG140" s="487"/>
      <c r="BH140" s="487"/>
      <c r="BI140" s="487"/>
      <c r="BJ140" s="487"/>
      <c r="BK140" s="487"/>
      <c r="BL140" s="487"/>
      <c r="BM140" s="487"/>
      <c r="BN140" s="487"/>
      <c r="BO140" s="487"/>
      <c r="BP140" s="487"/>
      <c r="BQ140" s="487"/>
      <c r="BR140" s="487"/>
      <c r="BS140" s="487"/>
      <c r="BT140" s="487"/>
      <c r="BU140" s="487"/>
      <c r="BV140" s="487"/>
    </row>
    <row r="141" spans="1:120" s="488" customFormat="1" ht="62.25" customHeight="1" thickBot="1" x14ac:dyDescent="0.3">
      <c r="A141" s="748" t="s">
        <v>196</v>
      </c>
      <c r="B141" s="749"/>
      <c r="C141" s="539"/>
      <c r="D141" s="539"/>
      <c r="E141" s="354">
        <f>SUM(C141:D141)</f>
        <v>0</v>
      </c>
      <c r="F141" s="355">
        <f>R141+T141+V141+X141</f>
        <v>0</v>
      </c>
      <c r="G141" s="355">
        <f>S141+U141+W141+Y141</f>
        <v>0</v>
      </c>
      <c r="H141" s="359">
        <f t="shared" ref="H141" si="74">SUM(F141:G141)</f>
        <v>0</v>
      </c>
      <c r="I141" s="406" t="e">
        <f t="shared" ref="I141:I163" si="75">H141/E141*100</f>
        <v>#DIV/0!</v>
      </c>
      <c r="J141" s="42"/>
      <c r="K141" s="43"/>
      <c r="L141" s="44"/>
      <c r="M141" s="43"/>
      <c r="N141" s="44"/>
      <c r="O141" s="43"/>
      <c r="P141" s="44"/>
      <c r="Q141" s="43"/>
      <c r="R141" s="490"/>
      <c r="S141" s="497"/>
      <c r="T141" s="495"/>
      <c r="U141" s="495"/>
      <c r="V141" s="495"/>
      <c r="W141" s="495"/>
      <c r="X141" s="495"/>
      <c r="Y141" s="492"/>
      <c r="Z141" s="116"/>
      <c r="AA141" s="487"/>
      <c r="AB141" s="487"/>
      <c r="AC141" s="487"/>
      <c r="AD141" s="487"/>
      <c r="AE141" s="487"/>
      <c r="AF141" s="487"/>
      <c r="AG141" s="487"/>
      <c r="AH141" s="487"/>
      <c r="AI141" s="487"/>
      <c r="AJ141" s="487"/>
      <c r="AK141" s="487"/>
      <c r="AL141" s="487"/>
      <c r="AM141" s="487"/>
      <c r="AN141" s="487"/>
      <c r="AO141" s="487"/>
      <c r="AP141" s="487"/>
      <c r="AQ141" s="487"/>
      <c r="AR141" s="487"/>
      <c r="AS141" s="487"/>
      <c r="AT141" s="487"/>
      <c r="AU141" s="487"/>
      <c r="AV141" s="487"/>
      <c r="AW141" s="487"/>
      <c r="AX141" s="487"/>
      <c r="AY141" s="487"/>
      <c r="AZ141" s="487"/>
      <c r="BA141" s="487"/>
      <c r="BB141" s="487"/>
      <c r="BC141" s="487"/>
      <c r="BD141" s="487"/>
      <c r="BE141" s="487"/>
      <c r="BF141" s="487"/>
      <c r="BG141" s="487"/>
      <c r="BH141" s="487"/>
      <c r="BI141" s="487"/>
      <c r="BJ141" s="487"/>
      <c r="BK141" s="487"/>
      <c r="BL141" s="487"/>
      <c r="BM141" s="487"/>
      <c r="BN141" s="487"/>
      <c r="BO141" s="487"/>
      <c r="BP141" s="487"/>
      <c r="BQ141" s="487"/>
      <c r="BR141" s="487"/>
      <c r="BS141" s="487"/>
      <c r="BT141" s="487"/>
      <c r="BU141" s="487"/>
      <c r="BV141" s="487"/>
    </row>
    <row r="142" spans="1:120" s="488" customFormat="1" ht="15.75" thickBot="1" x14ac:dyDescent="0.3">
      <c r="A142" s="750" t="s">
        <v>197</v>
      </c>
      <c r="B142" s="59" t="s">
        <v>198</v>
      </c>
      <c r="C142" s="539"/>
      <c r="D142" s="539"/>
      <c r="E142" s="354">
        <f t="shared" ref="E142" si="76">SUM(C142:D142)</f>
        <v>0</v>
      </c>
      <c r="F142" s="355">
        <f>J142+L142+N142+P142+R142+T142+V142+X142</f>
        <v>0</v>
      </c>
      <c r="G142" s="355">
        <f>K142+M142+O142+Q142+S142+U142+W142+Y142</f>
        <v>0</v>
      </c>
      <c r="H142" s="359">
        <f>SUM(F142:G142)</f>
        <v>0</v>
      </c>
      <c r="I142" s="405" t="e">
        <f t="shared" si="75"/>
        <v>#DIV/0!</v>
      </c>
      <c r="J142" s="490"/>
      <c r="K142" s="601"/>
      <c r="L142" s="491"/>
      <c r="M142" s="492"/>
      <c r="N142" s="493"/>
      <c r="O142" s="494"/>
      <c r="P142" s="491"/>
      <c r="Q142" s="492"/>
      <c r="R142" s="490"/>
      <c r="S142" s="497"/>
      <c r="T142" s="495"/>
      <c r="U142" s="495"/>
      <c r="V142" s="495"/>
      <c r="W142" s="495"/>
      <c r="X142" s="495"/>
      <c r="Y142" s="492"/>
      <c r="Z142" s="116"/>
      <c r="AA142" s="487"/>
      <c r="AB142" s="487"/>
      <c r="AC142" s="487"/>
      <c r="AD142" s="487"/>
      <c r="AE142" s="487"/>
      <c r="AF142" s="487"/>
      <c r="AG142" s="487"/>
      <c r="AH142" s="487"/>
      <c r="AI142" s="487"/>
      <c r="AJ142" s="487"/>
      <c r="AK142" s="487"/>
      <c r="AL142" s="487"/>
      <c r="AM142" s="487"/>
      <c r="AN142" s="487"/>
      <c r="AO142" s="487"/>
      <c r="AP142" s="487"/>
      <c r="AQ142" s="487"/>
      <c r="AR142" s="487"/>
      <c r="AS142" s="487"/>
      <c r="AT142" s="487"/>
      <c r="AU142" s="487"/>
      <c r="AV142" s="487"/>
      <c r="AW142" s="487"/>
      <c r="AX142" s="487"/>
      <c r="AY142" s="487"/>
      <c r="AZ142" s="487"/>
      <c r="BA142" s="487"/>
      <c r="BB142" s="487"/>
      <c r="BC142" s="487"/>
      <c r="BD142" s="487"/>
      <c r="BE142" s="487"/>
      <c r="BF142" s="487"/>
      <c r="BG142" s="487"/>
      <c r="BH142" s="487"/>
      <c r="BI142" s="487"/>
      <c r="BJ142" s="487"/>
      <c r="BK142" s="487"/>
      <c r="BL142" s="487"/>
      <c r="BM142" s="487"/>
      <c r="BN142" s="487"/>
      <c r="BO142" s="487"/>
      <c r="BP142" s="487"/>
      <c r="BQ142" s="487"/>
      <c r="BR142" s="487"/>
      <c r="BS142" s="487"/>
      <c r="BT142" s="487"/>
      <c r="BU142" s="487"/>
      <c r="BV142" s="487"/>
    </row>
    <row r="143" spans="1:120" s="488" customFormat="1" ht="15.75" thickBot="1" x14ac:dyDescent="0.3">
      <c r="A143" s="751"/>
      <c r="B143" s="60" t="s">
        <v>262</v>
      </c>
      <c r="C143" s="539"/>
      <c r="D143" s="539"/>
      <c r="E143" s="354">
        <f t="shared" ref="E143:E151" si="77">SUM(C143:D143)</f>
        <v>0</v>
      </c>
      <c r="F143" s="355">
        <f>J143+L143+N143+P143+R143+T143+V143+X143</f>
        <v>0</v>
      </c>
      <c r="G143" s="355">
        <f>K143+M143+O143+Q143+S143+U143+W143+Y143</f>
        <v>0</v>
      </c>
      <c r="H143" s="359">
        <f>SUM(F143:G143)</f>
        <v>0</v>
      </c>
      <c r="I143" s="405" t="e">
        <f t="shared" si="75"/>
        <v>#DIV/0!</v>
      </c>
      <c r="J143" s="490"/>
      <c r="K143" s="601"/>
      <c r="L143" s="491"/>
      <c r="M143" s="492"/>
      <c r="N143" s="493"/>
      <c r="O143" s="494"/>
      <c r="P143" s="491"/>
      <c r="Q143" s="492"/>
      <c r="R143" s="490"/>
      <c r="S143" s="497"/>
      <c r="T143" s="495"/>
      <c r="U143" s="495"/>
      <c r="V143" s="495"/>
      <c r="W143" s="495"/>
      <c r="X143" s="495"/>
      <c r="Y143" s="492"/>
      <c r="Z143" s="116"/>
      <c r="AA143" s="487"/>
      <c r="AB143" s="487"/>
      <c r="AC143" s="487"/>
      <c r="AD143" s="487"/>
      <c r="AE143" s="487"/>
      <c r="AF143" s="487"/>
      <c r="AG143" s="487"/>
      <c r="AH143" s="487"/>
      <c r="AI143" s="487"/>
      <c r="AJ143" s="487"/>
      <c r="AK143" s="487"/>
      <c r="AL143" s="487"/>
      <c r="AM143" s="487"/>
      <c r="AN143" s="487"/>
      <c r="AO143" s="487"/>
      <c r="AP143" s="487"/>
      <c r="AQ143" s="487"/>
      <c r="AR143" s="487"/>
      <c r="AS143" s="487"/>
      <c r="AT143" s="487"/>
      <c r="AU143" s="487"/>
      <c r="AV143" s="487"/>
      <c r="AW143" s="487"/>
      <c r="AX143" s="487"/>
      <c r="AY143" s="487"/>
      <c r="AZ143" s="487"/>
      <c r="BA143" s="487"/>
      <c r="BB143" s="487"/>
      <c r="BC143" s="487"/>
      <c r="BD143" s="487"/>
      <c r="BE143" s="487"/>
      <c r="BF143" s="487"/>
      <c r="BG143" s="487"/>
      <c r="BH143" s="487"/>
      <c r="BI143" s="487"/>
      <c r="BJ143" s="487"/>
      <c r="BK143" s="487"/>
      <c r="BL143" s="487"/>
      <c r="BM143" s="487"/>
      <c r="BN143" s="487"/>
      <c r="BO143" s="487"/>
      <c r="BP143" s="487"/>
      <c r="BQ143" s="487"/>
      <c r="BR143" s="487"/>
      <c r="BS143" s="487"/>
      <c r="BT143" s="487"/>
      <c r="BU143" s="487"/>
      <c r="BV143" s="487"/>
    </row>
    <row r="144" spans="1:120" s="488" customFormat="1" ht="15.75" thickBot="1" x14ac:dyDescent="0.3">
      <c r="A144" s="752" t="s">
        <v>200</v>
      </c>
      <c r="B144" s="47" t="s">
        <v>201</v>
      </c>
      <c r="C144" s="82"/>
      <c r="D144" s="82"/>
      <c r="E144" s="354">
        <f t="shared" si="77"/>
        <v>0</v>
      </c>
      <c r="F144" s="355">
        <f t="shared" ref="F144:G148" si="78">J144+L144+N144+P144+R144+T144+V144+X144</f>
        <v>0</v>
      </c>
      <c r="G144" s="355">
        <f t="shared" si="78"/>
        <v>0</v>
      </c>
      <c r="H144" s="359">
        <f>SUM(F144:G144)</f>
        <v>0</v>
      </c>
      <c r="I144" s="405" t="e">
        <f t="shared" si="75"/>
        <v>#DIV/0!</v>
      </c>
      <c r="J144" s="490"/>
      <c r="K144" s="601"/>
      <c r="L144" s="491"/>
      <c r="M144" s="492"/>
      <c r="N144" s="493"/>
      <c r="O144" s="494"/>
      <c r="P144" s="491"/>
      <c r="Q144" s="492"/>
      <c r="R144" s="490"/>
      <c r="S144" s="497"/>
      <c r="T144" s="495"/>
      <c r="U144" s="495"/>
      <c r="V144" s="495"/>
      <c r="W144" s="495"/>
      <c r="X144" s="495"/>
      <c r="Y144" s="492"/>
      <c r="Z144" s="116"/>
      <c r="AA144" s="487"/>
      <c r="AB144" s="487"/>
      <c r="AC144" s="487"/>
      <c r="AD144" s="487"/>
      <c r="AE144" s="487"/>
      <c r="AF144" s="487"/>
      <c r="AG144" s="487"/>
      <c r="AH144" s="487"/>
      <c r="AI144" s="487"/>
      <c r="AJ144" s="487"/>
      <c r="AK144" s="487"/>
      <c r="AL144" s="487"/>
      <c r="AM144" s="487"/>
      <c r="AN144" s="487"/>
      <c r="AO144" s="487"/>
      <c r="AP144" s="487"/>
      <c r="AQ144" s="487"/>
      <c r="AR144" s="487"/>
      <c r="AS144" s="487"/>
      <c r="AT144" s="487"/>
      <c r="AU144" s="487"/>
      <c r="AV144" s="487"/>
      <c r="AW144" s="487"/>
      <c r="AX144" s="487"/>
      <c r="AY144" s="487"/>
      <c r="AZ144" s="487"/>
      <c r="BA144" s="487"/>
      <c r="BB144" s="487"/>
      <c r="BC144" s="487"/>
      <c r="BD144" s="487"/>
      <c r="BE144" s="487"/>
      <c r="BF144" s="487"/>
      <c r="BG144" s="487"/>
      <c r="BH144" s="487"/>
      <c r="BI144" s="487"/>
      <c r="BJ144" s="487"/>
      <c r="BK144" s="487"/>
      <c r="BL144" s="487"/>
      <c r="BM144" s="487"/>
      <c r="BN144" s="487"/>
      <c r="BO144" s="487"/>
      <c r="BP144" s="487"/>
      <c r="BQ144" s="487"/>
      <c r="BR144" s="487"/>
      <c r="BS144" s="487"/>
      <c r="BT144" s="487"/>
      <c r="BU144" s="487"/>
      <c r="BV144" s="487"/>
    </row>
    <row r="145" spans="1:120" s="488" customFormat="1" ht="30.75" thickBot="1" x14ac:dyDescent="0.3">
      <c r="A145" s="753"/>
      <c r="B145" s="48" t="s">
        <v>133</v>
      </c>
      <c r="C145" s="82"/>
      <c r="D145" s="82"/>
      <c r="E145" s="354">
        <f t="shared" si="77"/>
        <v>0</v>
      </c>
      <c r="F145" s="355">
        <f t="shared" si="78"/>
        <v>0</v>
      </c>
      <c r="G145" s="355">
        <f t="shared" si="78"/>
        <v>0</v>
      </c>
      <c r="H145" s="359">
        <f t="shared" ref="H145" si="79">SUM(F145:G145)</f>
        <v>0</v>
      </c>
      <c r="I145" s="405" t="e">
        <f t="shared" si="75"/>
        <v>#DIV/0!</v>
      </c>
      <c r="J145" s="490"/>
      <c r="K145" s="601"/>
      <c r="L145" s="491"/>
      <c r="M145" s="492"/>
      <c r="N145" s="493"/>
      <c r="O145" s="494"/>
      <c r="P145" s="491"/>
      <c r="Q145" s="492"/>
      <c r="R145" s="490"/>
      <c r="S145" s="497"/>
      <c r="T145" s="495"/>
      <c r="U145" s="495"/>
      <c r="V145" s="495"/>
      <c r="W145" s="495"/>
      <c r="X145" s="495"/>
      <c r="Y145" s="492"/>
      <c r="Z145" s="116"/>
      <c r="AA145" s="487"/>
      <c r="AB145" s="487"/>
      <c r="AC145" s="487"/>
      <c r="AD145" s="487"/>
      <c r="AE145" s="487"/>
      <c r="AF145" s="487"/>
      <c r="AG145" s="487"/>
      <c r="AH145" s="487"/>
      <c r="AI145" s="487"/>
      <c r="AJ145" s="487"/>
      <c r="AK145" s="487"/>
      <c r="AL145" s="487"/>
      <c r="AM145" s="487"/>
      <c r="AN145" s="487"/>
      <c r="AO145" s="487"/>
      <c r="AP145" s="487"/>
      <c r="AQ145" s="487"/>
      <c r="AR145" s="487"/>
      <c r="AS145" s="487"/>
      <c r="AT145" s="487"/>
      <c r="AU145" s="487"/>
      <c r="AV145" s="487"/>
      <c r="AW145" s="487"/>
      <c r="AX145" s="487"/>
      <c r="AY145" s="487"/>
      <c r="AZ145" s="487"/>
      <c r="BA145" s="487"/>
      <c r="BB145" s="487"/>
      <c r="BC145" s="487"/>
      <c r="BD145" s="487"/>
      <c r="BE145" s="487"/>
      <c r="BF145" s="487"/>
      <c r="BG145" s="487"/>
      <c r="BH145" s="487"/>
      <c r="BI145" s="487"/>
      <c r="BJ145" s="487"/>
      <c r="BK145" s="487"/>
      <c r="BL145" s="487"/>
      <c r="BM145" s="487"/>
      <c r="BN145" s="487"/>
      <c r="BO145" s="487"/>
      <c r="BP145" s="487"/>
      <c r="BQ145" s="487"/>
      <c r="BR145" s="487"/>
      <c r="BS145" s="487"/>
      <c r="BT145" s="487"/>
      <c r="BU145" s="487"/>
      <c r="BV145" s="487"/>
    </row>
    <row r="146" spans="1:120" s="488" customFormat="1" ht="15.75" thickBot="1" x14ac:dyDescent="0.3">
      <c r="A146" s="753"/>
      <c r="B146" s="49" t="s">
        <v>202</v>
      </c>
      <c r="C146" s="540"/>
      <c r="D146" s="540"/>
      <c r="E146" s="354">
        <f t="shared" si="77"/>
        <v>0</v>
      </c>
      <c r="F146" s="355">
        <f t="shared" si="78"/>
        <v>0</v>
      </c>
      <c r="G146" s="355">
        <f t="shared" si="78"/>
        <v>0</v>
      </c>
      <c r="H146" s="355">
        <f>SUM(F146:G146)</f>
        <v>0</v>
      </c>
      <c r="I146" s="405" t="e">
        <f t="shared" si="75"/>
        <v>#DIV/0!</v>
      </c>
      <c r="J146" s="490"/>
      <c r="K146" s="601"/>
      <c r="L146" s="491"/>
      <c r="M146" s="492"/>
      <c r="N146" s="493"/>
      <c r="O146" s="494"/>
      <c r="P146" s="491"/>
      <c r="Q146" s="492"/>
      <c r="R146" s="490"/>
      <c r="S146" s="497"/>
      <c r="T146" s="495"/>
      <c r="U146" s="495"/>
      <c r="V146" s="495"/>
      <c r="W146" s="495"/>
      <c r="X146" s="495"/>
      <c r="Y146" s="492"/>
      <c r="Z146" s="116"/>
      <c r="AA146" s="487"/>
      <c r="AB146" s="487"/>
      <c r="AC146" s="487"/>
      <c r="AD146" s="487"/>
      <c r="AE146" s="487"/>
      <c r="AF146" s="487"/>
      <c r="AG146" s="487"/>
      <c r="AH146" s="487"/>
      <c r="AI146" s="487"/>
      <c r="AJ146" s="487"/>
      <c r="AK146" s="487"/>
      <c r="AL146" s="487"/>
      <c r="AM146" s="487"/>
      <c r="AN146" s="487"/>
      <c r="AO146" s="487"/>
      <c r="AP146" s="487"/>
      <c r="AQ146" s="487"/>
      <c r="AR146" s="487"/>
      <c r="AS146" s="487"/>
      <c r="AT146" s="487"/>
      <c r="AU146" s="487"/>
      <c r="AV146" s="487"/>
      <c r="AW146" s="487"/>
      <c r="AX146" s="487"/>
      <c r="AY146" s="487"/>
      <c r="AZ146" s="487"/>
      <c r="BA146" s="487"/>
      <c r="BB146" s="487"/>
      <c r="BC146" s="487"/>
      <c r="BD146" s="487"/>
      <c r="BE146" s="487"/>
      <c r="BF146" s="487"/>
      <c r="BG146" s="487"/>
      <c r="BH146" s="487"/>
      <c r="BI146" s="487"/>
      <c r="BJ146" s="487"/>
      <c r="BK146" s="487"/>
      <c r="BL146" s="487"/>
      <c r="BM146" s="487"/>
      <c r="BN146" s="487"/>
      <c r="BO146" s="487"/>
      <c r="BP146" s="487"/>
      <c r="BQ146" s="487"/>
      <c r="BR146" s="487"/>
      <c r="BS146" s="487"/>
      <c r="BT146" s="487"/>
      <c r="BU146" s="487"/>
      <c r="BV146" s="487"/>
    </row>
    <row r="147" spans="1:120" s="488" customFormat="1" ht="15.75" thickBot="1" x14ac:dyDescent="0.3">
      <c r="A147" s="753"/>
      <c r="B147" s="50" t="s">
        <v>135</v>
      </c>
      <c r="C147" s="88"/>
      <c r="D147" s="88"/>
      <c r="E147" s="354">
        <f t="shared" si="77"/>
        <v>0</v>
      </c>
      <c r="F147" s="355">
        <f t="shared" si="78"/>
        <v>0</v>
      </c>
      <c r="G147" s="355">
        <f t="shared" si="78"/>
        <v>0</v>
      </c>
      <c r="H147" s="359">
        <f t="shared" ref="H147:H149" si="80">SUM(F147:G147)</f>
        <v>0</v>
      </c>
      <c r="I147" s="405" t="e">
        <f t="shared" si="75"/>
        <v>#DIV/0!</v>
      </c>
      <c r="J147" s="490"/>
      <c r="K147" s="601"/>
      <c r="L147" s="491"/>
      <c r="M147" s="492"/>
      <c r="N147" s="493"/>
      <c r="O147" s="494"/>
      <c r="P147" s="491"/>
      <c r="Q147" s="492"/>
      <c r="R147" s="490"/>
      <c r="S147" s="497"/>
      <c r="T147" s="495"/>
      <c r="U147" s="495"/>
      <c r="V147" s="495"/>
      <c r="W147" s="495"/>
      <c r="X147" s="495"/>
      <c r="Y147" s="492"/>
      <c r="Z147" s="116"/>
      <c r="AA147" s="487"/>
      <c r="AB147" s="487"/>
      <c r="AC147" s="487"/>
      <c r="AD147" s="487"/>
      <c r="AE147" s="487"/>
      <c r="AF147" s="487"/>
      <c r="AG147" s="487"/>
      <c r="AH147" s="487"/>
      <c r="AI147" s="487"/>
      <c r="AJ147" s="487"/>
      <c r="AK147" s="487"/>
      <c r="AL147" s="487"/>
      <c r="AM147" s="487"/>
      <c r="AN147" s="487"/>
      <c r="AO147" s="487"/>
      <c r="AP147" s="487"/>
      <c r="AQ147" s="487"/>
      <c r="AR147" s="487"/>
      <c r="AS147" s="487"/>
      <c r="AT147" s="487"/>
      <c r="AU147" s="487"/>
      <c r="AV147" s="487"/>
      <c r="AW147" s="487"/>
      <c r="AX147" s="487"/>
      <c r="AY147" s="487"/>
      <c r="AZ147" s="487"/>
      <c r="BA147" s="487"/>
      <c r="BB147" s="487"/>
      <c r="BC147" s="487"/>
      <c r="BD147" s="487"/>
      <c r="BE147" s="487"/>
      <c r="BF147" s="487"/>
      <c r="BG147" s="487"/>
      <c r="BH147" s="487"/>
      <c r="BI147" s="487"/>
      <c r="BJ147" s="487"/>
      <c r="BK147" s="487"/>
      <c r="BL147" s="487"/>
      <c r="BM147" s="487"/>
      <c r="BN147" s="487"/>
      <c r="BO147" s="487"/>
      <c r="BP147" s="487"/>
      <c r="BQ147" s="487"/>
      <c r="BR147" s="487"/>
      <c r="BS147" s="487"/>
      <c r="BT147" s="487"/>
      <c r="BU147" s="487"/>
      <c r="BV147" s="487"/>
    </row>
    <row r="148" spans="1:120" s="488" customFormat="1" ht="15.75" thickBot="1" x14ac:dyDescent="0.3">
      <c r="A148" s="753"/>
      <c r="B148" s="50" t="s">
        <v>203</v>
      </c>
      <c r="C148" s="88"/>
      <c r="D148" s="88"/>
      <c r="E148" s="354">
        <f t="shared" si="77"/>
        <v>0</v>
      </c>
      <c r="F148" s="355">
        <f t="shared" si="78"/>
        <v>0</v>
      </c>
      <c r="G148" s="355">
        <f t="shared" si="78"/>
        <v>0</v>
      </c>
      <c r="H148" s="359">
        <f t="shared" si="80"/>
        <v>0</v>
      </c>
      <c r="I148" s="405" t="e">
        <f t="shared" si="75"/>
        <v>#DIV/0!</v>
      </c>
      <c r="J148" s="490"/>
      <c r="K148" s="601"/>
      <c r="L148" s="491"/>
      <c r="M148" s="492"/>
      <c r="N148" s="493"/>
      <c r="O148" s="494"/>
      <c r="P148" s="491"/>
      <c r="Q148" s="492"/>
      <c r="R148" s="490"/>
      <c r="S148" s="497"/>
      <c r="T148" s="495"/>
      <c r="U148" s="495"/>
      <c r="V148" s="495"/>
      <c r="W148" s="495"/>
      <c r="X148" s="495"/>
      <c r="Y148" s="492"/>
      <c r="Z148" s="116"/>
      <c r="AA148" s="487"/>
      <c r="AB148" s="487"/>
      <c r="AC148" s="487"/>
      <c r="AD148" s="487"/>
      <c r="AE148" s="487"/>
      <c r="AF148" s="487"/>
      <c r="AG148" s="487"/>
      <c r="AH148" s="487"/>
      <c r="AI148" s="487"/>
      <c r="AJ148" s="487"/>
      <c r="AK148" s="487"/>
      <c r="AL148" s="487"/>
      <c r="AM148" s="487"/>
      <c r="AN148" s="487"/>
      <c r="AO148" s="487"/>
      <c r="AP148" s="487"/>
      <c r="AQ148" s="487"/>
      <c r="AR148" s="487"/>
      <c r="AS148" s="487"/>
      <c r="AT148" s="487"/>
      <c r="AU148" s="487"/>
      <c r="AV148" s="487"/>
      <c r="AW148" s="487"/>
      <c r="AX148" s="487"/>
      <c r="AY148" s="487"/>
      <c r="AZ148" s="487"/>
      <c r="BA148" s="487"/>
      <c r="BB148" s="487"/>
      <c r="BC148" s="487"/>
      <c r="BD148" s="487"/>
      <c r="BE148" s="487"/>
      <c r="BF148" s="487"/>
      <c r="BG148" s="487"/>
      <c r="BH148" s="487"/>
      <c r="BI148" s="487"/>
      <c r="BJ148" s="487"/>
      <c r="BK148" s="487"/>
      <c r="BL148" s="487"/>
      <c r="BM148" s="487"/>
      <c r="BN148" s="487"/>
      <c r="BO148" s="487"/>
      <c r="BP148" s="487"/>
      <c r="BQ148" s="487"/>
      <c r="BR148" s="487"/>
      <c r="BS148" s="487"/>
      <c r="BT148" s="487"/>
      <c r="BU148" s="487"/>
      <c r="BV148" s="487"/>
    </row>
    <row r="149" spans="1:120" s="488" customFormat="1" ht="15.75" thickBot="1" x14ac:dyDescent="0.3">
      <c r="A149" s="754" t="s">
        <v>204</v>
      </c>
      <c r="B149" s="755"/>
      <c r="C149" s="539"/>
      <c r="D149" s="539"/>
      <c r="E149" s="354">
        <f t="shared" si="77"/>
        <v>0</v>
      </c>
      <c r="F149" s="355">
        <f>J149+L149+N149+P149</f>
        <v>0</v>
      </c>
      <c r="G149" s="355">
        <f>K149+M149+O149+Q149</f>
        <v>0</v>
      </c>
      <c r="H149" s="359">
        <f t="shared" si="80"/>
        <v>0</v>
      </c>
      <c r="I149" s="406" t="e">
        <f t="shared" si="75"/>
        <v>#DIV/0!</v>
      </c>
      <c r="J149" s="602"/>
      <c r="K149" s="603"/>
      <c r="L149" s="604"/>
      <c r="M149" s="605"/>
      <c r="N149" s="604"/>
      <c r="O149" s="605"/>
      <c r="P149" s="604"/>
      <c r="Q149" s="605"/>
      <c r="R149" s="55"/>
      <c r="S149" s="56"/>
      <c r="T149" s="55"/>
      <c r="U149" s="56"/>
      <c r="V149" s="55"/>
      <c r="W149" s="57"/>
      <c r="X149" s="55"/>
      <c r="Y149" s="58"/>
      <c r="Z149" s="116"/>
      <c r="AA149" s="487"/>
      <c r="AB149" s="487"/>
      <c r="AC149" s="487"/>
      <c r="AD149" s="487"/>
      <c r="AE149" s="487"/>
      <c r="AF149" s="487"/>
      <c r="AG149" s="487"/>
      <c r="AH149" s="487"/>
      <c r="AI149" s="487"/>
      <c r="AJ149" s="487"/>
      <c r="AK149" s="487"/>
      <c r="AL149" s="487"/>
      <c r="AM149" s="487"/>
      <c r="AN149" s="487"/>
      <c r="AO149" s="487"/>
      <c r="AP149" s="487"/>
      <c r="AQ149" s="487"/>
      <c r="AR149" s="487"/>
      <c r="AS149" s="487"/>
      <c r="AT149" s="487"/>
      <c r="AU149" s="487"/>
      <c r="AV149" s="487"/>
      <c r="AW149" s="487"/>
      <c r="AX149" s="487"/>
      <c r="AY149" s="487"/>
      <c r="AZ149" s="487"/>
      <c r="BA149" s="487"/>
      <c r="BB149" s="487"/>
      <c r="BC149" s="487"/>
      <c r="BD149" s="487"/>
      <c r="BE149" s="487"/>
      <c r="BF149" s="487"/>
      <c r="BG149" s="487"/>
      <c r="BH149" s="487"/>
      <c r="BI149" s="487"/>
      <c r="BJ149" s="487"/>
      <c r="BK149" s="487"/>
      <c r="BL149" s="487"/>
      <c r="BM149" s="487"/>
      <c r="BN149" s="487"/>
      <c r="BO149" s="487"/>
      <c r="BP149" s="487"/>
      <c r="BQ149" s="487"/>
      <c r="BR149" s="487"/>
      <c r="BS149" s="487"/>
      <c r="BT149" s="487"/>
      <c r="BU149" s="487"/>
      <c r="BV149" s="487"/>
    </row>
    <row r="150" spans="1:120" s="488" customFormat="1" ht="15.75" thickBot="1" x14ac:dyDescent="0.3">
      <c r="A150" s="756" t="s">
        <v>205</v>
      </c>
      <c r="B150" s="59" t="s">
        <v>206</v>
      </c>
      <c r="C150" s="82"/>
      <c r="D150" s="82"/>
      <c r="E150" s="354">
        <f t="shared" si="77"/>
        <v>0</v>
      </c>
      <c r="F150" s="355">
        <f t="shared" ref="F150:G151" si="81">J150+L150+N150+P150+R150+T150+V150+X150</f>
        <v>0</v>
      </c>
      <c r="G150" s="355">
        <f t="shared" si="81"/>
        <v>0</v>
      </c>
      <c r="H150" s="355">
        <f>SUM(F150:G150)</f>
        <v>0</v>
      </c>
      <c r="I150" s="405" t="e">
        <f t="shared" si="75"/>
        <v>#DIV/0!</v>
      </c>
      <c r="J150" s="491"/>
      <c r="K150" s="495"/>
      <c r="L150" s="491"/>
      <c r="M150" s="495"/>
      <c r="N150" s="491"/>
      <c r="O150" s="494"/>
      <c r="P150" s="491"/>
      <c r="Q150" s="492"/>
      <c r="R150" s="491"/>
      <c r="S150" s="495"/>
      <c r="T150" s="491"/>
      <c r="U150" s="495"/>
      <c r="V150" s="491"/>
      <c r="W150" s="494"/>
      <c r="X150" s="491"/>
      <c r="Y150" s="492"/>
      <c r="Z150" s="116"/>
      <c r="AA150" s="487"/>
      <c r="AB150" s="487"/>
      <c r="AC150" s="487"/>
      <c r="AD150" s="487"/>
      <c r="AE150" s="487"/>
      <c r="AF150" s="487"/>
      <c r="AG150" s="487"/>
      <c r="AH150" s="487"/>
      <c r="AI150" s="487"/>
      <c r="AJ150" s="487"/>
      <c r="AK150" s="487"/>
      <c r="AL150" s="487"/>
      <c r="AM150" s="487"/>
      <c r="AN150" s="487"/>
      <c r="AO150" s="487"/>
      <c r="AP150" s="487"/>
      <c r="AQ150" s="487"/>
      <c r="AR150" s="487"/>
      <c r="AS150" s="487"/>
      <c r="AT150" s="487"/>
      <c r="AU150" s="487"/>
      <c r="AV150" s="487"/>
      <c r="AW150" s="487"/>
      <c r="AX150" s="487"/>
      <c r="AY150" s="487"/>
      <c r="AZ150" s="487"/>
      <c r="BA150" s="487"/>
      <c r="BB150" s="487"/>
      <c r="BC150" s="487"/>
      <c r="BD150" s="487"/>
      <c r="BE150" s="487"/>
      <c r="BF150" s="487"/>
      <c r="BG150" s="487"/>
      <c r="BH150" s="487"/>
      <c r="BI150" s="487"/>
      <c r="BJ150" s="487"/>
      <c r="BK150" s="487"/>
      <c r="BL150" s="487"/>
      <c r="BM150" s="487"/>
      <c r="BN150" s="487"/>
      <c r="BO150" s="487"/>
      <c r="BP150" s="487"/>
      <c r="BQ150" s="487"/>
      <c r="BR150" s="487"/>
      <c r="BS150" s="487"/>
      <c r="BT150" s="487"/>
      <c r="BU150" s="487"/>
      <c r="BV150" s="487"/>
    </row>
    <row r="151" spans="1:120" s="488" customFormat="1" ht="15.75" thickBot="1" x14ac:dyDescent="0.3">
      <c r="A151" s="753"/>
      <c r="B151" s="59" t="s">
        <v>140</v>
      </c>
      <c r="C151" s="82"/>
      <c r="D151" s="82"/>
      <c r="E151" s="354">
        <f t="shared" si="77"/>
        <v>0</v>
      </c>
      <c r="F151" s="355">
        <f t="shared" si="81"/>
        <v>0</v>
      </c>
      <c r="G151" s="355">
        <f t="shared" si="81"/>
        <v>0</v>
      </c>
      <c r="H151" s="359">
        <f t="shared" ref="H151" si="82">SUM(F151:G151)</f>
        <v>0</v>
      </c>
      <c r="I151" s="405" t="e">
        <f t="shared" si="75"/>
        <v>#DIV/0!</v>
      </c>
      <c r="J151" s="491"/>
      <c r="K151" s="495"/>
      <c r="L151" s="491"/>
      <c r="M151" s="495"/>
      <c r="N151" s="491"/>
      <c r="O151" s="494"/>
      <c r="P151" s="491"/>
      <c r="Q151" s="492"/>
      <c r="R151" s="491"/>
      <c r="S151" s="495"/>
      <c r="T151" s="491"/>
      <c r="U151" s="495"/>
      <c r="V151" s="491"/>
      <c r="W151" s="494"/>
      <c r="X151" s="491"/>
      <c r="Y151" s="492"/>
      <c r="Z151" s="116"/>
      <c r="AA151" s="487"/>
      <c r="AB151" s="487"/>
      <c r="AC151" s="487"/>
      <c r="AD151" s="487"/>
      <c r="AE151" s="487"/>
      <c r="AF151" s="487"/>
      <c r="AG151" s="487"/>
      <c r="AH151" s="487"/>
      <c r="AI151" s="487"/>
      <c r="AJ151" s="487"/>
      <c r="AK151" s="487"/>
      <c r="AL151" s="487"/>
      <c r="AM151" s="487"/>
      <c r="AN151" s="487"/>
      <c r="AO151" s="487"/>
      <c r="AP151" s="487"/>
      <c r="AQ151" s="487"/>
      <c r="AR151" s="487"/>
      <c r="AS151" s="487"/>
      <c r="AT151" s="487"/>
      <c r="AU151" s="487"/>
      <c r="AV151" s="487"/>
      <c r="AW151" s="487"/>
      <c r="AX151" s="487"/>
      <c r="AY151" s="487"/>
      <c r="AZ151" s="487"/>
      <c r="BA151" s="487"/>
      <c r="BB151" s="487"/>
      <c r="BC151" s="487"/>
      <c r="BD151" s="487"/>
      <c r="BE151" s="487"/>
      <c r="BF151" s="487"/>
      <c r="BG151" s="487"/>
      <c r="BH151" s="487"/>
      <c r="BI151" s="487"/>
      <c r="BJ151" s="487"/>
      <c r="BK151" s="487"/>
      <c r="BL151" s="487"/>
      <c r="BM151" s="487"/>
      <c r="BN151" s="487"/>
      <c r="BO151" s="487"/>
      <c r="BP151" s="487"/>
      <c r="BQ151" s="487"/>
      <c r="BR151" s="487"/>
      <c r="BS151" s="487"/>
      <c r="BT151" s="487"/>
      <c r="BU151" s="487"/>
      <c r="BV151" s="487"/>
    </row>
    <row r="152" spans="1:120" s="488" customFormat="1" ht="15.75" thickBot="1" x14ac:dyDescent="0.3">
      <c r="A152" s="753"/>
      <c r="B152" s="50" t="s">
        <v>141</v>
      </c>
      <c r="C152" s="88"/>
      <c r="D152" s="88"/>
      <c r="E152" s="354">
        <f>SUM(C152:D152)</f>
        <v>0</v>
      </c>
      <c r="F152" s="355">
        <f>J152+L152+N152+P152+R152+T152+V152+X152</f>
        <v>0</v>
      </c>
      <c r="G152" s="355">
        <f>K152+M152+O152+Q152+S152+U152+W152+Y152</f>
        <v>0</v>
      </c>
      <c r="H152" s="359">
        <f>SUM(F152:G152)</f>
        <v>0</v>
      </c>
      <c r="I152" s="405" t="e">
        <f>H152/E152*100</f>
        <v>#DIV/0!</v>
      </c>
      <c r="J152" s="490"/>
      <c r="K152" s="601"/>
      <c r="L152" s="491"/>
      <c r="M152" s="492"/>
      <c r="N152" s="493"/>
      <c r="O152" s="494"/>
      <c r="P152" s="491"/>
      <c r="Q152" s="492"/>
      <c r="R152" s="490"/>
      <c r="S152" s="497"/>
      <c r="T152" s="495"/>
      <c r="U152" s="495"/>
      <c r="V152" s="495"/>
      <c r="W152" s="495"/>
      <c r="X152" s="495"/>
      <c r="Y152" s="492"/>
      <c r="Z152" s="116"/>
      <c r="AA152" s="487"/>
      <c r="AB152" s="487"/>
      <c r="AC152" s="487"/>
      <c r="AD152" s="487"/>
      <c r="AE152" s="487"/>
      <c r="AF152" s="487"/>
      <c r="AG152" s="487"/>
      <c r="AH152" s="487"/>
      <c r="AI152" s="487"/>
      <c r="AJ152" s="487"/>
      <c r="AK152" s="487"/>
      <c r="AL152" s="487"/>
      <c r="AM152" s="487"/>
      <c r="AN152" s="487"/>
      <c r="AO152" s="487"/>
      <c r="AP152" s="487"/>
      <c r="AQ152" s="487"/>
      <c r="AR152" s="487"/>
      <c r="AS152" s="487"/>
      <c r="AT152" s="487"/>
      <c r="AU152" s="487"/>
      <c r="AV152" s="487"/>
      <c r="AW152" s="487"/>
      <c r="AX152" s="487"/>
      <c r="AY152" s="487"/>
      <c r="AZ152" s="487"/>
      <c r="BA152" s="487"/>
      <c r="BB152" s="487"/>
      <c r="BC152" s="487"/>
      <c r="BD152" s="487"/>
      <c r="BE152" s="487"/>
      <c r="BF152" s="487"/>
      <c r="BG152" s="487"/>
      <c r="BH152" s="487"/>
      <c r="BI152" s="487"/>
      <c r="BJ152" s="487"/>
      <c r="BK152" s="487"/>
      <c r="BL152" s="487"/>
      <c r="BM152" s="487"/>
      <c r="BN152" s="487"/>
      <c r="BO152" s="487"/>
      <c r="BP152" s="487"/>
      <c r="BQ152" s="487"/>
      <c r="BR152" s="487"/>
      <c r="BS152" s="487"/>
      <c r="BT152" s="487"/>
      <c r="BU152" s="487"/>
      <c r="BV152" s="487"/>
    </row>
    <row r="153" spans="1:120" s="488" customFormat="1" ht="30.75" thickBot="1" x14ac:dyDescent="0.3">
      <c r="A153" s="753"/>
      <c r="B153" s="60" t="s">
        <v>142</v>
      </c>
      <c r="C153" s="82"/>
      <c r="D153" s="82"/>
      <c r="E153" s="354">
        <f t="shared" ref="E153" si="83">SUM(C153:D153)</f>
        <v>0</v>
      </c>
      <c r="F153" s="355">
        <f t="shared" ref="F153:G153" si="84">J153+L153+N153+P153+R153+T153+V153+X153</f>
        <v>0</v>
      </c>
      <c r="G153" s="355">
        <f t="shared" si="84"/>
        <v>0</v>
      </c>
      <c r="H153" s="359">
        <f t="shared" ref="H153" si="85">SUM(F153:G153)</f>
        <v>0</v>
      </c>
      <c r="I153" s="405" t="e">
        <f t="shared" ref="I153" si="86">H153/E153*100</f>
        <v>#DIV/0!</v>
      </c>
      <c r="J153" s="491"/>
      <c r="K153" s="495"/>
      <c r="L153" s="491"/>
      <c r="M153" s="495"/>
      <c r="N153" s="491"/>
      <c r="O153" s="494"/>
      <c r="P153" s="491"/>
      <c r="Q153" s="492"/>
      <c r="R153" s="491"/>
      <c r="S153" s="495"/>
      <c r="T153" s="491"/>
      <c r="U153" s="495"/>
      <c r="V153" s="491"/>
      <c r="W153" s="494"/>
      <c r="X153" s="491"/>
      <c r="Y153" s="492"/>
      <c r="Z153" s="116"/>
      <c r="AA153" s="487"/>
      <c r="AB153" s="487"/>
      <c r="AC153" s="487"/>
      <c r="AD153" s="487"/>
      <c r="AE153" s="487"/>
      <c r="AF153" s="487"/>
      <c r="AG153" s="487"/>
      <c r="AH153" s="487"/>
      <c r="AI153" s="487"/>
      <c r="AJ153" s="487"/>
      <c r="AK153" s="487"/>
      <c r="AL153" s="487"/>
      <c r="AM153" s="487"/>
      <c r="AN153" s="487"/>
      <c r="AO153" s="487"/>
      <c r="AP153" s="487"/>
      <c r="AQ153" s="487"/>
      <c r="AR153" s="487"/>
      <c r="AS153" s="487"/>
      <c r="AT153" s="487"/>
      <c r="AU153" s="487"/>
      <c r="AV153" s="487"/>
      <c r="AW153" s="487"/>
      <c r="AX153" s="487"/>
      <c r="AY153" s="487"/>
      <c r="AZ153" s="487"/>
      <c r="BA153" s="487"/>
      <c r="BB153" s="487"/>
      <c r="BC153" s="487"/>
      <c r="BD153" s="487"/>
      <c r="BE153" s="487"/>
      <c r="BF153" s="487"/>
      <c r="BG153" s="487"/>
      <c r="BH153" s="487"/>
      <c r="BI153" s="487"/>
      <c r="BJ153" s="487"/>
      <c r="BK153" s="487"/>
      <c r="BL153" s="487"/>
      <c r="BM153" s="487"/>
      <c r="BN153" s="487"/>
      <c r="BO153" s="487"/>
      <c r="BP153" s="487"/>
      <c r="BQ153" s="487"/>
      <c r="BR153" s="487"/>
      <c r="BS153" s="487"/>
      <c r="BT153" s="487"/>
      <c r="BU153" s="487"/>
      <c r="BV153" s="487"/>
    </row>
    <row r="154" spans="1:120" s="480" customFormat="1" ht="16.5" thickTop="1" thickBot="1" x14ac:dyDescent="0.3">
      <c r="A154" s="769" t="s">
        <v>207</v>
      </c>
      <c r="B154" s="770"/>
      <c r="C154" s="541"/>
      <c r="D154" s="541"/>
      <c r="E154" s="354">
        <f>SUM(C154:D154)</f>
        <v>0</v>
      </c>
      <c r="F154" s="355">
        <f>J154+L154+N154+P154</f>
        <v>0</v>
      </c>
      <c r="G154" s="355">
        <f>K154+M154+O154+Q154</f>
        <v>8</v>
      </c>
      <c r="H154" s="375">
        <f>SUM(F154:G154)</f>
        <v>8</v>
      </c>
      <c r="I154" s="406" t="e">
        <f t="shared" si="75"/>
        <v>#DIV/0!</v>
      </c>
      <c r="J154" s="407">
        <f t="shared" ref="J154:Q154" si="87">SUM(J140:J153)</f>
        <v>0</v>
      </c>
      <c r="K154" s="407">
        <f t="shared" si="87"/>
        <v>0</v>
      </c>
      <c r="L154" s="407">
        <f t="shared" si="87"/>
        <v>0</v>
      </c>
      <c r="M154" s="407">
        <f t="shared" si="87"/>
        <v>0</v>
      </c>
      <c r="N154" s="407">
        <f t="shared" si="87"/>
        <v>0</v>
      </c>
      <c r="O154" s="407">
        <f t="shared" si="87"/>
        <v>6</v>
      </c>
      <c r="P154" s="407">
        <f t="shared" si="87"/>
        <v>0</v>
      </c>
      <c r="Q154" s="407">
        <f t="shared" si="87"/>
        <v>2</v>
      </c>
      <c r="R154" s="122"/>
      <c r="S154" s="123"/>
      <c r="T154" s="122"/>
      <c r="U154" s="123"/>
      <c r="V154" s="122"/>
      <c r="W154" s="124"/>
      <c r="X154" s="122"/>
      <c r="Y154" s="125"/>
      <c r="Z154" s="116"/>
    </row>
    <row r="155" spans="1:120" s="480" customFormat="1" ht="15.75" thickBot="1" x14ac:dyDescent="0.3">
      <c r="A155" s="784" t="s">
        <v>208</v>
      </c>
      <c r="B155" s="967"/>
      <c r="C155" s="542"/>
      <c r="D155" s="542"/>
      <c r="E155" s="354">
        <f>SUM(C155:D155)</f>
        <v>0</v>
      </c>
      <c r="F155" s="355">
        <f>R155+T155+V155+X155</f>
        <v>0</v>
      </c>
      <c r="G155" s="355">
        <f>S155+U155+W155+Y155</f>
        <v>0</v>
      </c>
      <c r="H155" s="355">
        <f>SUM(F155:G155)</f>
        <v>0</v>
      </c>
      <c r="I155" s="406" t="e">
        <f t="shared" si="75"/>
        <v>#DIV/0!</v>
      </c>
      <c r="J155" s="42"/>
      <c r="K155" s="43"/>
      <c r="L155" s="44"/>
      <c r="M155" s="43"/>
      <c r="N155" s="44"/>
      <c r="O155" s="43"/>
      <c r="P155" s="44"/>
      <c r="Q155" s="43"/>
      <c r="R155" s="367">
        <f t="shared" ref="R155:Y155" si="88">SUM(R140:R154)</f>
        <v>0</v>
      </c>
      <c r="S155" s="367">
        <f t="shared" si="88"/>
        <v>0</v>
      </c>
      <c r="T155" s="367">
        <f t="shared" si="88"/>
        <v>0</v>
      </c>
      <c r="U155" s="367">
        <f t="shared" si="88"/>
        <v>0</v>
      </c>
      <c r="V155" s="367">
        <f t="shared" si="88"/>
        <v>0</v>
      </c>
      <c r="W155" s="367">
        <f t="shared" si="88"/>
        <v>0</v>
      </c>
      <c r="X155" s="367">
        <f t="shared" si="88"/>
        <v>0</v>
      </c>
      <c r="Y155" s="367">
        <f t="shared" si="88"/>
        <v>0</v>
      </c>
      <c r="Z155" s="116"/>
    </row>
    <row r="156" spans="1:120" ht="20.25" customHeight="1" thickBot="1" x14ac:dyDescent="0.3">
      <c r="A156" s="968" t="s">
        <v>209</v>
      </c>
      <c r="B156" s="65" t="s">
        <v>210</v>
      </c>
      <c r="C156" s="66"/>
      <c r="D156" s="66"/>
      <c r="E156" s="66"/>
      <c r="F156" s="67"/>
      <c r="G156" s="68"/>
      <c r="H156" s="69"/>
      <c r="I156" s="368"/>
      <c r="J156" s="70"/>
      <c r="K156" s="71"/>
      <c r="L156" s="72"/>
      <c r="M156" s="73"/>
      <c r="N156" s="72"/>
      <c r="O156" s="73"/>
      <c r="P156" s="72"/>
      <c r="Q156" s="73"/>
      <c r="R156" s="72"/>
      <c r="S156" s="73"/>
      <c r="T156" s="72"/>
      <c r="U156" s="73"/>
      <c r="V156" s="72"/>
      <c r="W156" s="74"/>
      <c r="X156" s="72"/>
      <c r="Y156" s="75"/>
      <c r="AA156" s="480"/>
      <c r="AB156" s="480"/>
      <c r="AC156" s="480"/>
      <c r="AD156" s="480"/>
      <c r="AE156" s="480"/>
      <c r="AF156" s="480"/>
      <c r="AG156" s="480"/>
      <c r="AH156" s="480"/>
      <c r="AI156" s="480"/>
      <c r="AJ156" s="480"/>
      <c r="AK156" s="480"/>
      <c r="AL156" s="480"/>
      <c r="AM156" s="480"/>
      <c r="AN156" s="480"/>
      <c r="AO156" s="480"/>
      <c r="AP156" s="480"/>
      <c r="AQ156" s="480"/>
      <c r="AR156" s="480"/>
      <c r="AS156" s="480"/>
      <c r="AT156" s="480"/>
      <c r="AU156" s="480"/>
      <c r="AV156" s="480"/>
      <c r="AW156" s="480"/>
      <c r="AX156" s="480"/>
      <c r="AY156" s="480"/>
      <c r="AZ156" s="480"/>
      <c r="BA156" s="480"/>
      <c r="BB156" s="480"/>
      <c r="BC156" s="480"/>
      <c r="BD156" s="480"/>
      <c r="BE156" s="480"/>
      <c r="BF156" s="480"/>
      <c r="BW156" s="481"/>
      <c r="BX156" s="481"/>
      <c r="BY156" s="481"/>
      <c r="BZ156" s="481"/>
      <c r="CA156" s="481"/>
      <c r="CB156" s="481"/>
      <c r="CC156" s="481"/>
      <c r="CD156" s="481"/>
      <c r="CE156" s="481"/>
      <c r="CF156" s="481"/>
      <c r="CG156" s="481"/>
      <c r="CH156" s="481"/>
      <c r="CI156" s="481"/>
      <c r="CJ156" s="481"/>
      <c r="CK156" s="481"/>
      <c r="CL156" s="481"/>
      <c r="CM156" s="481"/>
      <c r="CN156" s="481"/>
      <c r="CO156" s="481"/>
      <c r="CP156" s="481"/>
      <c r="CQ156" s="481"/>
      <c r="CR156" s="481"/>
      <c r="CS156" s="481"/>
      <c r="CT156" s="481"/>
      <c r="CU156" s="481"/>
      <c r="CV156" s="481"/>
      <c r="CW156" s="481"/>
      <c r="CX156" s="481"/>
      <c r="CY156" s="481"/>
      <c r="CZ156" s="481"/>
      <c r="DA156" s="481"/>
      <c r="DB156" s="481"/>
      <c r="DC156" s="481"/>
      <c r="DD156" s="481"/>
      <c r="DE156" s="481"/>
      <c r="DF156" s="481"/>
      <c r="DG156" s="481"/>
      <c r="DH156" s="481"/>
      <c r="DI156" s="481"/>
      <c r="DJ156" s="481"/>
      <c r="DK156" s="481"/>
      <c r="DL156" s="481"/>
      <c r="DM156" s="481"/>
      <c r="DN156" s="481"/>
      <c r="DO156" s="481"/>
      <c r="DP156" s="481"/>
    </row>
    <row r="157" spans="1:120" ht="15.75" thickBot="1" x14ac:dyDescent="0.3">
      <c r="A157" s="969"/>
      <c r="B157" s="76" t="s">
        <v>211</v>
      </c>
      <c r="C157" s="543"/>
      <c r="D157" s="543"/>
      <c r="E157" s="370">
        <f>SUM(C157:D157)</f>
        <v>0</v>
      </c>
      <c r="F157" s="355">
        <f>J157+L157+N157+P157</f>
        <v>0</v>
      </c>
      <c r="G157" s="355">
        <f>K157+M157+O157+Q157</f>
        <v>0</v>
      </c>
      <c r="H157" s="359">
        <f>SUM(F157:G157)</f>
        <v>0</v>
      </c>
      <c r="I157" s="405" t="e">
        <f t="shared" si="75"/>
        <v>#DIV/0!</v>
      </c>
      <c r="J157" s="490"/>
      <c r="K157" s="497"/>
      <c r="L157" s="491"/>
      <c r="M157" s="495"/>
      <c r="N157" s="491"/>
      <c r="O157" s="495"/>
      <c r="P157" s="491"/>
      <c r="Q157" s="495"/>
      <c r="R157" s="77"/>
      <c r="S157" s="78"/>
      <c r="T157" s="77"/>
      <c r="U157" s="78"/>
      <c r="V157" s="77"/>
      <c r="W157" s="79"/>
      <c r="X157" s="77"/>
      <c r="Y157" s="80"/>
      <c r="AA157" s="480"/>
      <c r="AB157" s="480"/>
      <c r="AC157" s="480"/>
      <c r="AD157" s="480"/>
      <c r="AE157" s="480"/>
      <c r="AF157" s="480"/>
      <c r="AG157" s="480"/>
      <c r="AH157" s="480"/>
      <c r="AI157" s="480"/>
      <c r="AJ157" s="480"/>
      <c r="AK157" s="480"/>
      <c r="AL157" s="480"/>
      <c r="AM157" s="480"/>
      <c r="AN157" s="480"/>
      <c r="AO157" s="480"/>
      <c r="AP157" s="480"/>
      <c r="AQ157" s="480"/>
      <c r="AR157" s="480"/>
      <c r="AS157" s="480"/>
      <c r="AT157" s="480"/>
      <c r="AU157" s="480"/>
      <c r="AV157" s="480"/>
      <c r="AW157" s="480"/>
      <c r="AX157" s="480"/>
      <c r="AY157" s="480"/>
      <c r="AZ157" s="480"/>
      <c r="BA157" s="480"/>
      <c r="BB157" s="480"/>
      <c r="BC157" s="480"/>
      <c r="BD157" s="480"/>
      <c r="BE157" s="480"/>
      <c r="BF157" s="480"/>
      <c r="BW157" s="481"/>
      <c r="BX157" s="481"/>
      <c r="BY157" s="481"/>
      <c r="BZ157" s="481"/>
      <c r="CA157" s="481"/>
      <c r="CB157" s="481"/>
      <c r="CC157" s="481"/>
      <c r="CD157" s="481"/>
      <c r="CE157" s="481"/>
      <c r="CF157" s="481"/>
      <c r="CG157" s="481"/>
      <c r="CH157" s="481"/>
      <c r="CI157" s="481"/>
      <c r="CJ157" s="481"/>
      <c r="CK157" s="481"/>
      <c r="CL157" s="481"/>
      <c r="CM157" s="481"/>
      <c r="CN157" s="481"/>
      <c r="CO157" s="481"/>
      <c r="CP157" s="481"/>
      <c r="CQ157" s="481"/>
      <c r="CR157" s="481"/>
      <c r="CS157" s="481"/>
      <c r="CT157" s="481"/>
      <c r="CU157" s="481"/>
      <c r="CV157" s="481"/>
      <c r="CW157" s="481"/>
      <c r="CX157" s="481"/>
      <c r="CY157" s="481"/>
      <c r="CZ157" s="481"/>
      <c r="DA157" s="481"/>
      <c r="DB157" s="481"/>
      <c r="DC157" s="481"/>
      <c r="DD157" s="481"/>
      <c r="DE157" s="481"/>
      <c r="DF157" s="481"/>
      <c r="DG157" s="481"/>
      <c r="DH157" s="481"/>
      <c r="DI157" s="481"/>
      <c r="DJ157" s="481"/>
      <c r="DK157" s="481"/>
      <c r="DL157" s="481"/>
      <c r="DM157" s="481"/>
      <c r="DN157" s="481"/>
      <c r="DO157" s="481"/>
      <c r="DP157" s="481"/>
    </row>
    <row r="158" spans="1:120" s="502" customFormat="1" ht="30" customHeight="1" thickBot="1" x14ac:dyDescent="0.3">
      <c r="A158" s="969"/>
      <c r="B158" s="81" t="s">
        <v>212</v>
      </c>
      <c r="C158" s="82" t="s">
        <v>263</v>
      </c>
      <c r="D158" s="82" t="s">
        <v>263</v>
      </c>
      <c r="E158" s="82" t="s">
        <v>263</v>
      </c>
      <c r="F158" s="355">
        <f>J158+L158+N158</f>
        <v>0</v>
      </c>
      <c r="G158" s="355">
        <f>K158+M158+O158</f>
        <v>0</v>
      </c>
      <c r="H158" s="359">
        <f t="shared" ref="H158:H159" si="89">SUM(F158:G158)</f>
        <v>0</v>
      </c>
      <c r="I158" s="405" t="s">
        <v>263</v>
      </c>
      <c r="J158" s="498"/>
      <c r="K158" s="499"/>
      <c r="L158" s="500"/>
      <c r="M158" s="501"/>
      <c r="N158" s="491"/>
      <c r="O158" s="495"/>
      <c r="P158" s="77"/>
      <c r="Q158" s="78"/>
      <c r="R158" s="77"/>
      <c r="S158" s="78"/>
      <c r="T158" s="77"/>
      <c r="U158" s="78"/>
      <c r="V158" s="77"/>
      <c r="W158" s="79"/>
      <c r="X158" s="77"/>
      <c r="Y158" s="80"/>
      <c r="Z158" s="116"/>
      <c r="AA158" s="480"/>
      <c r="AB158" s="480"/>
      <c r="AC158" s="480"/>
      <c r="AD158" s="480"/>
      <c r="AE158" s="480"/>
      <c r="AF158" s="480"/>
      <c r="AG158" s="480"/>
      <c r="AH158" s="480"/>
      <c r="AI158" s="480"/>
      <c r="AJ158" s="480"/>
      <c r="AK158" s="480"/>
      <c r="AL158" s="480"/>
      <c r="AM158" s="480"/>
      <c r="AN158" s="480"/>
      <c r="AO158" s="480"/>
      <c r="AP158" s="480"/>
      <c r="AQ158" s="480"/>
      <c r="AR158" s="480"/>
      <c r="AS158" s="480"/>
      <c r="AT158" s="480"/>
      <c r="AU158" s="480"/>
      <c r="AV158" s="480"/>
      <c r="AW158" s="480"/>
      <c r="AX158" s="480"/>
      <c r="AY158" s="480"/>
      <c r="AZ158" s="480"/>
      <c r="BA158" s="480"/>
      <c r="BB158" s="480"/>
      <c r="BC158" s="480"/>
      <c r="BD158" s="480"/>
      <c r="BE158" s="480"/>
      <c r="BF158" s="480"/>
      <c r="BG158" s="480"/>
      <c r="BH158" s="480"/>
      <c r="BI158" s="480"/>
      <c r="BJ158" s="480"/>
      <c r="BK158" s="480"/>
      <c r="BL158" s="480"/>
      <c r="BM158" s="480"/>
      <c r="BN158" s="480"/>
      <c r="BO158" s="480"/>
      <c r="BP158" s="480"/>
      <c r="BQ158" s="480"/>
      <c r="BR158" s="480"/>
      <c r="BS158" s="480"/>
      <c r="BT158" s="480"/>
      <c r="BU158" s="480"/>
      <c r="BV158" s="480"/>
    </row>
    <row r="159" spans="1:120" ht="15.75" thickBot="1" x14ac:dyDescent="0.3">
      <c r="A159" s="969"/>
      <c r="B159" s="87" t="s">
        <v>213</v>
      </c>
      <c r="C159" s="88" t="s">
        <v>263</v>
      </c>
      <c r="D159" s="88" t="s">
        <v>263</v>
      </c>
      <c r="E159" s="88" t="s">
        <v>263</v>
      </c>
      <c r="F159" s="355">
        <f>N159</f>
        <v>0</v>
      </c>
      <c r="G159" s="355">
        <f>O159</f>
        <v>0</v>
      </c>
      <c r="H159" s="359">
        <f t="shared" si="89"/>
        <v>0</v>
      </c>
      <c r="I159" s="405" t="s">
        <v>263</v>
      </c>
      <c r="J159" s="77"/>
      <c r="K159" s="78"/>
      <c r="L159" s="77"/>
      <c r="M159" s="78"/>
      <c r="N159" s="500"/>
      <c r="O159" s="501"/>
      <c r="P159" s="77"/>
      <c r="Q159" s="78"/>
      <c r="R159" s="77"/>
      <c r="S159" s="78"/>
      <c r="T159" s="77"/>
      <c r="U159" s="78"/>
      <c r="V159" s="77"/>
      <c r="W159" s="79"/>
      <c r="X159" s="77"/>
      <c r="Y159" s="80"/>
      <c r="AA159" s="480"/>
      <c r="AB159" s="480"/>
      <c r="AC159" s="480"/>
      <c r="AD159" s="480"/>
      <c r="AE159" s="480"/>
      <c r="AF159" s="480"/>
      <c r="AG159" s="480"/>
      <c r="AH159" s="480"/>
      <c r="AI159" s="480"/>
      <c r="AJ159" s="480"/>
      <c r="AK159" s="480"/>
      <c r="AL159" s="480"/>
      <c r="AM159" s="480"/>
      <c r="AN159" s="480"/>
      <c r="AO159" s="480"/>
      <c r="AP159" s="480"/>
      <c r="AQ159" s="480"/>
      <c r="AR159" s="480"/>
      <c r="AS159" s="480"/>
      <c r="AT159" s="480"/>
      <c r="AU159" s="480"/>
      <c r="AV159" s="480"/>
      <c r="AW159" s="480"/>
      <c r="AX159" s="480"/>
      <c r="AY159" s="480"/>
      <c r="AZ159" s="480"/>
      <c r="BA159" s="480"/>
      <c r="BB159" s="480"/>
      <c r="BC159" s="480"/>
      <c r="BD159" s="480"/>
      <c r="BE159" s="480"/>
      <c r="BF159" s="480"/>
      <c r="BW159" s="481"/>
      <c r="BX159" s="481"/>
      <c r="BY159" s="481"/>
      <c r="BZ159" s="481"/>
      <c r="CA159" s="481"/>
      <c r="CB159" s="481"/>
      <c r="CC159" s="481"/>
      <c r="CD159" s="481"/>
      <c r="CE159" s="481"/>
      <c r="CF159" s="481"/>
      <c r="CG159" s="481"/>
      <c r="CH159" s="481"/>
      <c r="CI159" s="481"/>
      <c r="CJ159" s="481"/>
      <c r="CK159" s="481"/>
      <c r="CL159" s="481"/>
      <c r="CM159" s="481"/>
      <c r="CN159" s="481"/>
      <c r="CO159" s="481"/>
      <c r="CP159" s="481"/>
      <c r="CQ159" s="481"/>
      <c r="CR159" s="481"/>
      <c r="CS159" s="481"/>
      <c r="CT159" s="481"/>
      <c r="CU159" s="481"/>
      <c r="CV159" s="481"/>
      <c r="CW159" s="481"/>
      <c r="CX159" s="481"/>
      <c r="CY159" s="481"/>
      <c r="CZ159" s="481"/>
      <c r="DA159" s="481"/>
      <c r="DB159" s="481"/>
      <c r="DC159" s="481"/>
      <c r="DD159" s="481"/>
      <c r="DE159" s="481"/>
      <c r="DF159" s="481"/>
      <c r="DG159" s="481"/>
      <c r="DH159" s="481"/>
      <c r="DI159" s="481"/>
      <c r="DJ159" s="481"/>
      <c r="DK159" s="481"/>
      <c r="DL159" s="481"/>
      <c r="DM159" s="481"/>
      <c r="DN159" s="481"/>
      <c r="DO159" s="481"/>
      <c r="DP159" s="481"/>
    </row>
    <row r="160" spans="1:120" ht="20.25" customHeight="1" thickBot="1" x14ac:dyDescent="0.3">
      <c r="A160" s="969"/>
      <c r="B160" s="65" t="s">
        <v>214</v>
      </c>
      <c r="C160" s="89"/>
      <c r="D160" s="89"/>
      <c r="E160" s="89"/>
      <c r="F160" s="69"/>
      <c r="G160" s="69"/>
      <c r="H160" s="69"/>
      <c r="I160" s="368"/>
      <c r="J160" s="70"/>
      <c r="K160" s="71"/>
      <c r="L160" s="72"/>
      <c r="M160" s="73"/>
      <c r="N160" s="72"/>
      <c r="O160" s="73"/>
      <c r="P160" s="72"/>
      <c r="Q160" s="73"/>
      <c r="R160" s="72"/>
      <c r="S160" s="73"/>
      <c r="T160" s="72"/>
      <c r="U160" s="73"/>
      <c r="V160" s="72"/>
      <c r="W160" s="74"/>
      <c r="X160" s="72"/>
      <c r="Y160" s="75"/>
      <c r="AA160" s="480"/>
      <c r="AB160" s="480"/>
      <c r="AC160" s="480"/>
      <c r="AD160" s="480"/>
      <c r="AE160" s="480"/>
      <c r="AF160" s="480"/>
      <c r="AG160" s="480"/>
      <c r="AH160" s="480"/>
      <c r="AI160" s="480"/>
      <c r="AJ160" s="480"/>
      <c r="AK160" s="480"/>
      <c r="AL160" s="480"/>
      <c r="AM160" s="480"/>
      <c r="AN160" s="480"/>
      <c r="AO160" s="480"/>
      <c r="AP160" s="480"/>
      <c r="AQ160" s="480"/>
      <c r="AR160" s="480"/>
      <c r="AS160" s="480"/>
      <c r="AT160" s="480"/>
      <c r="AU160" s="480"/>
      <c r="AV160" s="480"/>
      <c r="AW160" s="480"/>
      <c r="AX160" s="480"/>
      <c r="AY160" s="480"/>
      <c r="AZ160" s="480"/>
      <c r="BA160" s="480"/>
      <c r="BB160" s="480"/>
      <c r="BC160" s="480"/>
      <c r="BD160" s="480"/>
      <c r="BE160" s="480"/>
      <c r="BF160" s="480"/>
      <c r="BW160" s="481"/>
      <c r="BX160" s="481"/>
      <c r="BY160" s="481"/>
      <c r="BZ160" s="481"/>
      <c r="CA160" s="481"/>
      <c r="CB160" s="481"/>
      <c r="CC160" s="481"/>
      <c r="CD160" s="481"/>
      <c r="CE160" s="481"/>
      <c r="CF160" s="481"/>
      <c r="CG160" s="481"/>
      <c r="CH160" s="481"/>
      <c r="CI160" s="481"/>
      <c r="CJ160" s="481"/>
      <c r="CK160" s="481"/>
      <c r="CL160" s="481"/>
      <c r="CM160" s="481"/>
      <c r="CN160" s="481"/>
      <c r="CO160" s="481"/>
      <c r="CP160" s="481"/>
      <c r="CQ160" s="481"/>
      <c r="CR160" s="481"/>
      <c r="CS160" s="481"/>
      <c r="CT160" s="481"/>
      <c r="CU160" s="481"/>
      <c r="CV160" s="481"/>
      <c r="CW160" s="481"/>
      <c r="CX160" s="481"/>
      <c r="CY160" s="481"/>
      <c r="CZ160" s="481"/>
      <c r="DA160" s="481"/>
      <c r="DB160" s="481"/>
      <c r="DC160" s="481"/>
      <c r="DD160" s="481"/>
      <c r="DE160" s="481"/>
      <c r="DF160" s="481"/>
      <c r="DG160" s="481"/>
      <c r="DH160" s="481"/>
      <c r="DI160" s="481"/>
      <c r="DJ160" s="481"/>
      <c r="DK160" s="481"/>
      <c r="DL160" s="481"/>
      <c r="DM160" s="481"/>
      <c r="DN160" s="481"/>
      <c r="DO160" s="481"/>
      <c r="DP160" s="481"/>
    </row>
    <row r="161" spans="1:120" ht="15.75" thickBot="1" x14ac:dyDescent="0.3">
      <c r="A161" s="970"/>
      <c r="B161" s="90" t="s">
        <v>215</v>
      </c>
      <c r="C161" s="88"/>
      <c r="D161" s="88"/>
      <c r="E161" s="373">
        <f>SUM(C161:D161)</f>
        <v>0</v>
      </c>
      <c r="F161" s="355">
        <f>N161+P161</f>
        <v>12</v>
      </c>
      <c r="G161" s="355">
        <f>O161+Q161</f>
        <v>10</v>
      </c>
      <c r="H161" s="359">
        <f>SUM(F161:G161)</f>
        <v>22</v>
      </c>
      <c r="I161" s="405" t="e">
        <f t="shared" si="75"/>
        <v>#DIV/0!</v>
      </c>
      <c r="J161" s="77"/>
      <c r="K161" s="78"/>
      <c r="L161" s="77"/>
      <c r="M161" s="78"/>
      <c r="N161" s="491"/>
      <c r="O161" s="495"/>
      <c r="P161" s="491">
        <v>12</v>
      </c>
      <c r="Q161" s="495">
        <v>10</v>
      </c>
      <c r="R161" s="77"/>
      <c r="S161" s="78"/>
      <c r="T161" s="77"/>
      <c r="U161" s="78"/>
      <c r="V161" s="77"/>
      <c r="W161" s="79"/>
      <c r="X161" s="77"/>
      <c r="Y161" s="80"/>
      <c r="AA161" s="480"/>
      <c r="AB161" s="480"/>
      <c r="AC161" s="480"/>
      <c r="AD161" s="480"/>
      <c r="AE161" s="480"/>
      <c r="AF161" s="480"/>
      <c r="AG161" s="480"/>
      <c r="AH161" s="480"/>
      <c r="AI161" s="480"/>
      <c r="AJ161" s="480"/>
      <c r="AK161" s="480"/>
      <c r="AL161" s="480"/>
      <c r="AM161" s="480"/>
      <c r="AN161" s="480"/>
      <c r="AO161" s="480"/>
      <c r="AP161" s="480"/>
      <c r="AQ161" s="480"/>
      <c r="AR161" s="480"/>
      <c r="AS161" s="480"/>
      <c r="AT161" s="480"/>
      <c r="AU161" s="480"/>
      <c r="AV161" s="480"/>
      <c r="AW161" s="480"/>
      <c r="AX161" s="480"/>
      <c r="AY161" s="480"/>
      <c r="AZ161" s="480"/>
      <c r="BA161" s="480"/>
      <c r="BB161" s="480"/>
      <c r="BC161" s="480"/>
      <c r="BD161" s="480"/>
      <c r="BE161" s="480"/>
      <c r="BF161" s="480"/>
      <c r="BW161" s="481"/>
      <c r="BX161" s="481"/>
      <c r="BY161" s="481"/>
      <c r="BZ161" s="481"/>
      <c r="CA161" s="481"/>
      <c r="CB161" s="481"/>
      <c r="CC161" s="481"/>
      <c r="CD161" s="481"/>
      <c r="CE161" s="481"/>
      <c r="CF161" s="481"/>
      <c r="CG161" s="481"/>
      <c r="CH161" s="481"/>
      <c r="CI161" s="481"/>
      <c r="CJ161" s="481"/>
      <c r="CK161" s="481"/>
      <c r="CL161" s="481"/>
      <c r="CM161" s="481"/>
      <c r="CN161" s="481"/>
      <c r="CO161" s="481"/>
      <c r="CP161" s="481"/>
      <c r="CQ161" s="481"/>
      <c r="CR161" s="481"/>
      <c r="CS161" s="481"/>
      <c r="CT161" s="481"/>
      <c r="CU161" s="481"/>
      <c r="CV161" s="481"/>
      <c r="CW161" s="481"/>
      <c r="CX161" s="481"/>
      <c r="CY161" s="481"/>
      <c r="CZ161" s="481"/>
      <c r="DA161" s="481"/>
      <c r="DB161" s="481"/>
      <c r="DC161" s="481"/>
      <c r="DD161" s="481"/>
      <c r="DE161" s="481"/>
      <c r="DF161" s="481"/>
      <c r="DG161" s="481"/>
      <c r="DH161" s="481"/>
      <c r="DI161" s="481"/>
      <c r="DJ161" s="481"/>
      <c r="DK161" s="481"/>
      <c r="DL161" s="481"/>
      <c r="DM161" s="481"/>
      <c r="DN161" s="481"/>
      <c r="DO161" s="481"/>
      <c r="DP161" s="481"/>
    </row>
    <row r="162" spans="1:120" ht="15.75" thickBot="1" x14ac:dyDescent="0.3">
      <c r="A162" s="970"/>
      <c r="B162" s="91" t="s">
        <v>216</v>
      </c>
      <c r="C162" s="88"/>
      <c r="D162" s="88"/>
      <c r="E162" s="373">
        <f>SUM(C162:D162)</f>
        <v>0</v>
      </c>
      <c r="F162" s="374">
        <f>R162+T162</f>
        <v>0</v>
      </c>
      <c r="G162" s="374">
        <f>S162+U162</f>
        <v>0</v>
      </c>
      <c r="H162" s="359">
        <f>SUM(F162:G162)</f>
        <v>0</v>
      </c>
      <c r="I162" s="405" t="e">
        <f t="shared" si="75"/>
        <v>#DIV/0!</v>
      </c>
      <c r="J162" s="92"/>
      <c r="K162" s="93"/>
      <c r="L162" s="92"/>
      <c r="M162" s="93"/>
      <c r="N162" s="92"/>
      <c r="O162" s="93"/>
      <c r="P162" s="92"/>
      <c r="Q162" s="93"/>
      <c r="R162" s="504"/>
      <c r="S162" s="505"/>
      <c r="T162" s="504"/>
      <c r="U162" s="505"/>
      <c r="V162" s="92"/>
      <c r="W162" s="95"/>
      <c r="X162" s="92"/>
      <c r="Y162" s="96"/>
      <c r="AA162" s="480"/>
      <c r="AB162" s="480"/>
      <c r="AC162" s="480"/>
      <c r="AD162" s="480"/>
      <c r="AE162" s="480"/>
      <c r="AF162" s="480"/>
      <c r="AG162" s="480"/>
      <c r="AH162" s="480"/>
      <c r="AI162" s="480"/>
      <c r="AJ162" s="480"/>
      <c r="AK162" s="480"/>
      <c r="AL162" s="480"/>
      <c r="AM162" s="480"/>
      <c r="AN162" s="480"/>
      <c r="AO162" s="480"/>
      <c r="AP162" s="480"/>
      <c r="AQ162" s="480"/>
      <c r="AR162" s="480"/>
      <c r="AS162" s="480"/>
      <c r="AT162" s="480"/>
      <c r="AU162" s="480"/>
      <c r="AV162" s="480"/>
      <c r="AW162" s="480"/>
      <c r="AX162" s="480"/>
      <c r="AY162" s="480"/>
      <c r="AZ162" s="480"/>
      <c r="BA162" s="480"/>
      <c r="BB162" s="480"/>
      <c r="BC162" s="480"/>
      <c r="BD162" s="480"/>
      <c r="BE162" s="480"/>
      <c r="BF162" s="480"/>
      <c r="BW162" s="481"/>
      <c r="BX162" s="481"/>
      <c r="BY162" s="481"/>
      <c r="BZ162" s="481"/>
      <c r="CA162" s="481"/>
      <c r="CB162" s="481"/>
      <c r="CC162" s="481"/>
      <c r="CD162" s="481"/>
      <c r="CE162" s="481"/>
      <c r="CF162" s="481"/>
      <c r="CG162" s="481"/>
      <c r="CH162" s="481"/>
      <c r="CI162" s="481"/>
      <c r="CJ162" s="481"/>
      <c r="CK162" s="481"/>
      <c r="CL162" s="481"/>
      <c r="CM162" s="481"/>
      <c r="CN162" s="481"/>
      <c r="CO162" s="481"/>
      <c r="CP162" s="481"/>
      <c r="CQ162" s="481"/>
      <c r="CR162" s="481"/>
      <c r="CS162" s="481"/>
      <c r="CT162" s="481"/>
      <c r="CU162" s="481"/>
      <c r="CV162" s="481"/>
      <c r="CW162" s="481"/>
      <c r="CX162" s="481"/>
      <c r="CY162" s="481"/>
      <c r="CZ162" s="481"/>
      <c r="DA162" s="481"/>
      <c r="DB162" s="481"/>
      <c r="DC162" s="481"/>
      <c r="DD162" s="481"/>
      <c r="DE162" s="481"/>
      <c r="DF162" s="481"/>
      <c r="DG162" s="481"/>
      <c r="DH162" s="481"/>
      <c r="DI162" s="481"/>
      <c r="DJ162" s="481"/>
      <c r="DK162" s="481"/>
      <c r="DL162" s="481"/>
      <c r="DM162" s="481"/>
      <c r="DN162" s="481"/>
      <c r="DO162" s="481"/>
      <c r="DP162" s="481"/>
    </row>
    <row r="163" spans="1:120" ht="48.75" customHeight="1" thickTop="1" thickBot="1" x14ac:dyDescent="0.3">
      <c r="A163" s="1024" t="s">
        <v>217</v>
      </c>
      <c r="B163" s="755"/>
      <c r="C163" s="375">
        <f t="shared" ref="C163:E163" si="90">SUM(C154:C162)</f>
        <v>0</v>
      </c>
      <c r="D163" s="375">
        <f t="shared" si="90"/>
        <v>0</v>
      </c>
      <c r="E163" s="375">
        <f t="shared" si="90"/>
        <v>0</v>
      </c>
      <c r="F163" s="376">
        <f>SUM(F154:F162)</f>
        <v>12</v>
      </c>
      <c r="G163" s="375">
        <f>SUM(G154:G162)</f>
        <v>18</v>
      </c>
      <c r="H163" s="359">
        <f>SUM(F163:G163)</f>
        <v>30</v>
      </c>
      <c r="I163" s="406" t="e">
        <f t="shared" si="75"/>
        <v>#DIV/0!</v>
      </c>
      <c r="J163" s="377">
        <f>SUM(J154:J162)</f>
        <v>0</v>
      </c>
      <c r="K163" s="378">
        <f t="shared" ref="K163:M163" si="91">SUM(K154:K162)</f>
        <v>0</v>
      </c>
      <c r="L163" s="378">
        <f t="shared" si="91"/>
        <v>0</v>
      </c>
      <c r="M163" s="378">
        <f t="shared" si="91"/>
        <v>0</v>
      </c>
      <c r="N163" s="378">
        <f>SUM(N154:N162)</f>
        <v>0</v>
      </c>
      <c r="O163" s="378">
        <f t="shared" ref="O163:S163" si="92">SUM(O154:O162)</f>
        <v>6</v>
      </c>
      <c r="P163" s="378">
        <f t="shared" si="92"/>
        <v>12</v>
      </c>
      <c r="Q163" s="378">
        <f t="shared" si="92"/>
        <v>12</v>
      </c>
      <c r="R163" s="378">
        <f t="shared" si="92"/>
        <v>0</v>
      </c>
      <c r="S163" s="378">
        <f t="shared" si="92"/>
        <v>0</v>
      </c>
      <c r="T163" s="378">
        <f>SUM(T154:T162)</f>
        <v>0</v>
      </c>
      <c r="U163" s="378">
        <f t="shared" ref="U163:W163" si="93">SUM(U154:U162)</f>
        <v>0</v>
      </c>
      <c r="V163" s="378">
        <f t="shared" si="93"/>
        <v>0</v>
      </c>
      <c r="W163" s="379">
        <f t="shared" si="93"/>
        <v>0</v>
      </c>
      <c r="X163" s="380">
        <f>SUM(X154:X162)</f>
        <v>0</v>
      </c>
      <c r="Y163" s="381">
        <f t="shared" ref="Y163" si="94">SUM(Y154:Y162)</f>
        <v>0</v>
      </c>
      <c r="BF163" s="480"/>
      <c r="DP163" s="481"/>
    </row>
    <row r="164" spans="1:120" x14ac:dyDescent="0.25">
      <c r="BC164" s="480"/>
      <c r="BD164" s="480"/>
      <c r="BE164" s="480"/>
      <c r="BF164" s="480"/>
      <c r="DM164" s="481"/>
      <c r="DN164" s="481"/>
      <c r="DO164" s="481"/>
      <c r="DP164" s="481"/>
    </row>
    <row r="165" spans="1:120" ht="15.75" thickBot="1" x14ac:dyDescent="0.3">
      <c r="BC165" s="480"/>
      <c r="BD165" s="480"/>
      <c r="BE165" s="480"/>
      <c r="BF165" s="480"/>
      <c r="DM165" s="481"/>
      <c r="DN165" s="481"/>
      <c r="DO165" s="481"/>
      <c r="DP165" s="481"/>
    </row>
    <row r="166" spans="1:120" ht="16.5" customHeight="1" thickBot="1" x14ac:dyDescent="0.3">
      <c r="A166" s="792" t="s">
        <v>221</v>
      </c>
      <c r="B166" s="794"/>
      <c r="C166" s="794"/>
      <c r="D166" s="794"/>
      <c r="E166" s="794"/>
      <c r="F166" s="794"/>
      <c r="G166" s="794"/>
      <c r="H166" s="794"/>
      <c r="I166" s="755"/>
      <c r="R166" s="480"/>
      <c r="S166" s="480"/>
      <c r="T166" s="480"/>
      <c r="U166" s="480"/>
      <c r="V166" s="480"/>
      <c r="W166" s="480"/>
      <c r="X166" s="480"/>
      <c r="Y166" s="480"/>
      <c r="Z166" s="480"/>
      <c r="AA166" s="480"/>
      <c r="AB166" s="480"/>
      <c r="AC166" s="480"/>
      <c r="AD166" s="480"/>
      <c r="AE166" s="480"/>
      <c r="AF166" s="480"/>
      <c r="AG166" s="480"/>
      <c r="AH166" s="480"/>
      <c r="AI166" s="480"/>
      <c r="AJ166" s="480"/>
      <c r="AK166" s="480"/>
      <c r="AL166" s="480"/>
      <c r="AM166" s="480"/>
      <c r="AN166" s="480"/>
      <c r="AO166" s="480"/>
      <c r="AP166" s="480"/>
      <c r="AQ166" s="480"/>
      <c r="AR166" s="480"/>
      <c r="AS166" s="480"/>
      <c r="AT166" s="480"/>
      <c r="AU166" s="480"/>
      <c r="AV166" s="480"/>
      <c r="AW166" s="480"/>
      <c r="AX166" s="480"/>
      <c r="AY166" s="480"/>
      <c r="AZ166" s="480"/>
      <c r="BA166" s="480"/>
      <c r="BB166" s="480"/>
      <c r="BC166" s="480"/>
      <c r="BD166" s="480"/>
      <c r="BE166" s="480"/>
      <c r="BF166" s="480"/>
      <c r="CB166" s="481"/>
      <c r="CC166" s="481"/>
      <c r="CD166" s="481"/>
      <c r="CE166" s="481"/>
      <c r="CF166" s="481"/>
      <c r="CG166" s="481"/>
      <c r="CH166" s="481"/>
      <c r="CI166" s="481"/>
      <c r="CJ166" s="481"/>
      <c r="CK166" s="481"/>
      <c r="CL166" s="481"/>
      <c r="CM166" s="481"/>
      <c r="CN166" s="481"/>
      <c r="CO166" s="481"/>
      <c r="CP166" s="481"/>
      <c r="CQ166" s="481"/>
      <c r="CR166" s="481"/>
      <c r="CS166" s="481"/>
      <c r="CT166" s="481"/>
      <c r="CU166" s="481"/>
      <c r="CV166" s="481"/>
      <c r="CW166" s="481"/>
      <c r="CX166" s="481"/>
      <c r="CY166" s="481"/>
      <c r="CZ166" s="481"/>
      <c r="DA166" s="481"/>
      <c r="DB166" s="481"/>
      <c r="DC166" s="481"/>
      <c r="DD166" s="481"/>
      <c r="DE166" s="481"/>
      <c r="DF166" s="481"/>
      <c r="DG166" s="481"/>
      <c r="DH166" s="481"/>
      <c r="DI166" s="481"/>
      <c r="DJ166" s="481"/>
      <c r="DK166" s="481"/>
      <c r="DL166" s="481"/>
      <c r="DM166" s="481"/>
      <c r="DN166" s="481"/>
      <c r="DO166" s="481"/>
      <c r="DP166" s="481"/>
    </row>
    <row r="167" spans="1:120" ht="16.5" thickBot="1" x14ac:dyDescent="0.3">
      <c r="A167" s="867" t="s">
        <v>231</v>
      </c>
      <c r="B167" s="868"/>
      <c r="C167" s="868"/>
      <c r="D167" s="868"/>
      <c r="E167" s="869"/>
      <c r="F167" s="323" t="s">
        <v>232</v>
      </c>
      <c r="G167" s="323" t="s">
        <v>233</v>
      </c>
      <c r="H167" s="126" t="s">
        <v>234</v>
      </c>
      <c r="I167" s="126" t="s">
        <v>193</v>
      </c>
      <c r="R167" s="480"/>
      <c r="S167" s="480"/>
      <c r="T167" s="480"/>
      <c r="U167" s="480"/>
      <c r="V167" s="480"/>
      <c r="W167" s="480"/>
      <c r="X167" s="480"/>
      <c r="Y167" s="480"/>
      <c r="Z167" s="480"/>
      <c r="AA167" s="480"/>
      <c r="AB167" s="480"/>
      <c r="AC167" s="480"/>
      <c r="AD167" s="480"/>
      <c r="AE167" s="480"/>
      <c r="AF167" s="480"/>
      <c r="AG167" s="480"/>
      <c r="AH167" s="480"/>
      <c r="AI167" s="480"/>
      <c r="AJ167" s="480"/>
      <c r="AK167" s="480"/>
      <c r="AL167" s="480"/>
      <c r="AM167" s="480"/>
      <c r="AN167" s="480"/>
      <c r="AO167" s="480"/>
      <c r="AP167" s="480"/>
      <c r="AQ167" s="480"/>
      <c r="AR167" s="480"/>
      <c r="AS167" s="480"/>
      <c r="AT167" s="480"/>
      <c r="AU167" s="480"/>
      <c r="AV167" s="480"/>
      <c r="AW167" s="480"/>
      <c r="AX167" s="480"/>
      <c r="AY167" s="480"/>
      <c r="AZ167" s="480"/>
      <c r="BA167" s="480"/>
      <c r="BB167" s="480"/>
      <c r="BC167" s="480"/>
      <c r="BD167" s="480"/>
      <c r="BE167" s="480"/>
      <c r="BF167" s="480"/>
      <c r="CB167" s="481"/>
      <c r="CC167" s="481"/>
      <c r="CD167" s="481"/>
      <c r="CE167" s="481"/>
      <c r="CF167" s="481"/>
      <c r="CG167" s="481"/>
      <c r="CH167" s="481"/>
      <c r="CI167" s="481"/>
      <c r="CJ167" s="481"/>
      <c r="CK167" s="481"/>
      <c r="CL167" s="481"/>
      <c r="CM167" s="481"/>
      <c r="CN167" s="481"/>
      <c r="CO167" s="481"/>
      <c r="CP167" s="481"/>
      <c r="CQ167" s="481"/>
      <c r="CR167" s="481"/>
      <c r="CS167" s="481"/>
      <c r="CT167" s="481"/>
      <c r="CU167" s="481"/>
      <c r="CV167" s="481"/>
      <c r="CW167" s="481"/>
      <c r="CX167" s="481"/>
      <c r="CY167" s="481"/>
      <c r="CZ167" s="481"/>
      <c r="DA167" s="481"/>
      <c r="DB167" s="481"/>
      <c r="DC167" s="481"/>
      <c r="DD167" s="481"/>
      <c r="DE167" s="481"/>
      <c r="DF167" s="481"/>
      <c r="DG167" s="481"/>
      <c r="DH167" s="481"/>
      <c r="DI167" s="481"/>
      <c r="DJ167" s="481"/>
      <c r="DK167" s="481"/>
      <c r="DL167" s="481"/>
      <c r="DM167" s="481"/>
      <c r="DN167" s="481"/>
      <c r="DO167" s="481"/>
      <c r="DP167" s="481"/>
    </row>
    <row r="168" spans="1:120" ht="15" customHeight="1" thickBot="1" x14ac:dyDescent="0.3">
      <c r="A168" s="865" t="s">
        <v>324</v>
      </c>
      <c r="B168" s="866"/>
      <c r="C168" s="866"/>
      <c r="D168" s="866"/>
      <c r="E168" s="979"/>
      <c r="F168" s="545"/>
      <c r="G168" s="550"/>
      <c r="H168" s="551"/>
      <c r="I168" s="408">
        <f>SUM(F168:H168)</f>
        <v>0</v>
      </c>
      <c r="R168" s="480"/>
      <c r="S168" s="480"/>
      <c r="T168" s="480"/>
      <c r="U168" s="480"/>
      <c r="V168" s="480"/>
      <c r="W168" s="480"/>
      <c r="X168" s="480"/>
      <c r="Y168" s="480"/>
      <c r="Z168" s="480"/>
      <c r="AA168" s="480"/>
      <c r="AB168" s="480"/>
      <c r="AC168" s="480"/>
      <c r="AD168" s="480"/>
      <c r="AE168" s="480"/>
      <c r="AF168" s="480"/>
      <c r="AG168" s="480"/>
      <c r="AH168" s="480"/>
      <c r="AI168" s="480"/>
      <c r="AJ168" s="480"/>
      <c r="AK168" s="480"/>
      <c r="AL168" s="480"/>
      <c r="AM168" s="480"/>
      <c r="AN168" s="480"/>
      <c r="AO168" s="480"/>
      <c r="AP168" s="480"/>
      <c r="AQ168" s="480"/>
      <c r="AR168" s="480"/>
      <c r="AS168" s="480"/>
      <c r="AT168" s="480"/>
      <c r="AU168" s="480"/>
      <c r="AV168" s="480"/>
      <c r="AW168" s="480"/>
      <c r="AX168" s="480"/>
      <c r="AY168" s="480"/>
      <c r="AZ168" s="480"/>
      <c r="BA168" s="480"/>
      <c r="BB168" s="480"/>
      <c r="BC168" s="480"/>
      <c r="BD168" s="480"/>
      <c r="BE168" s="480"/>
      <c r="BF168" s="480"/>
      <c r="CB168" s="481"/>
      <c r="CC168" s="481"/>
      <c r="CD168" s="481"/>
      <c r="CE168" s="481"/>
      <c r="CF168" s="481"/>
      <c r="CG168" s="481"/>
      <c r="CH168" s="481"/>
      <c r="CI168" s="481"/>
      <c r="CJ168" s="481"/>
      <c r="CK168" s="481"/>
      <c r="CL168" s="481"/>
      <c r="CM168" s="481"/>
      <c r="CN168" s="481"/>
      <c r="CO168" s="481"/>
      <c r="CP168" s="481"/>
      <c r="CQ168" s="481"/>
      <c r="CR168" s="481"/>
      <c r="CS168" s="481"/>
      <c r="CT168" s="481"/>
      <c r="CU168" s="481"/>
      <c r="CV168" s="481"/>
      <c r="CW168" s="481"/>
      <c r="CX168" s="481"/>
      <c r="CY168" s="481"/>
      <c r="CZ168" s="481"/>
      <c r="DA168" s="481"/>
      <c r="DB168" s="481"/>
      <c r="DC168" s="481"/>
      <c r="DD168" s="481"/>
      <c r="DE168" s="481"/>
      <c r="DF168" s="481"/>
      <c r="DG168" s="481"/>
      <c r="DH168" s="481"/>
      <c r="DI168" s="481"/>
      <c r="DJ168" s="481"/>
      <c r="DK168" s="481"/>
      <c r="DL168" s="481"/>
      <c r="DM168" s="481"/>
      <c r="DN168" s="481"/>
      <c r="DO168" s="481"/>
      <c r="DP168" s="481"/>
    </row>
    <row r="169" spans="1:120" ht="15" customHeight="1" thickBot="1" x14ac:dyDescent="0.3">
      <c r="A169" s="865" t="s">
        <v>325</v>
      </c>
      <c r="B169" s="866"/>
      <c r="C169" s="866"/>
      <c r="D169" s="866"/>
      <c r="E169" s="979"/>
      <c r="F169" s="552"/>
      <c r="G169" s="553"/>
      <c r="H169" s="554"/>
      <c r="I169" s="408">
        <f>SUM(F169:H169)</f>
        <v>0</v>
      </c>
      <c r="R169" s="480"/>
      <c r="S169" s="480"/>
      <c r="T169" s="480"/>
      <c r="U169" s="480"/>
      <c r="V169" s="480"/>
      <c r="W169" s="480"/>
      <c r="X169" s="480"/>
      <c r="Y169" s="480"/>
      <c r="Z169" s="480"/>
      <c r="AA169" s="480"/>
      <c r="AB169" s="480"/>
      <c r="AC169" s="480"/>
      <c r="AD169" s="480"/>
      <c r="AE169" s="480"/>
      <c r="AF169" s="480"/>
      <c r="AG169" s="480"/>
      <c r="AH169" s="480"/>
      <c r="AI169" s="480"/>
      <c r="AJ169" s="480"/>
      <c r="AK169" s="480"/>
      <c r="AL169" s="480"/>
      <c r="AM169" s="480"/>
      <c r="AN169" s="480"/>
      <c r="AO169" s="480"/>
      <c r="AP169" s="480"/>
      <c r="AQ169" s="480"/>
      <c r="AR169" s="480"/>
      <c r="AS169" s="480"/>
      <c r="AT169" s="480"/>
      <c r="AU169" s="480"/>
      <c r="AV169" s="480"/>
      <c r="AW169" s="480"/>
      <c r="AX169" s="480"/>
      <c r="AY169" s="480"/>
      <c r="AZ169" s="480"/>
      <c r="BA169" s="480"/>
      <c r="BB169" s="480"/>
      <c r="BC169" s="480"/>
      <c r="BD169" s="480"/>
      <c r="BE169" s="480"/>
      <c r="BF169" s="480"/>
      <c r="CB169" s="481"/>
      <c r="CC169" s="481"/>
      <c r="CD169" s="481"/>
      <c r="CE169" s="481"/>
      <c r="CF169" s="481"/>
      <c r="CG169" s="481"/>
      <c r="CH169" s="481"/>
      <c r="CI169" s="481"/>
      <c r="CJ169" s="481"/>
      <c r="CK169" s="481"/>
      <c r="CL169" s="481"/>
      <c r="CM169" s="481"/>
      <c r="CN169" s="481"/>
      <c r="CO169" s="481"/>
      <c r="CP169" s="481"/>
      <c r="CQ169" s="481"/>
      <c r="CR169" s="481"/>
      <c r="CS169" s="481"/>
      <c r="CT169" s="481"/>
      <c r="CU169" s="481"/>
      <c r="CV169" s="481"/>
      <c r="CW169" s="481"/>
      <c r="CX169" s="481"/>
      <c r="CY169" s="481"/>
      <c r="CZ169" s="481"/>
      <c r="DA169" s="481"/>
      <c r="DB169" s="481"/>
      <c r="DC169" s="481"/>
      <c r="DD169" s="481"/>
      <c r="DE169" s="481"/>
      <c r="DF169" s="481"/>
      <c r="DG169" s="481"/>
      <c r="DH169" s="481"/>
      <c r="DI169" s="481"/>
      <c r="DJ169" s="481"/>
      <c r="DK169" s="481"/>
      <c r="DL169" s="481"/>
      <c r="DM169" s="481"/>
      <c r="DN169" s="481"/>
      <c r="DO169" s="481"/>
      <c r="DP169" s="481"/>
    </row>
    <row r="170" spans="1:120" ht="15.75" customHeight="1" thickBot="1" x14ac:dyDescent="0.3">
      <c r="A170" s="1025" t="s">
        <v>44</v>
      </c>
      <c r="B170" s="857"/>
      <c r="C170" s="857"/>
      <c r="D170" s="857"/>
      <c r="E170" s="755"/>
      <c r="F170" s="555"/>
      <c r="G170" s="556"/>
      <c r="H170" s="557"/>
      <c r="I170" s="409">
        <f>SUM(F170:H170)</f>
        <v>0</v>
      </c>
      <c r="R170" s="480"/>
      <c r="S170" s="480"/>
      <c r="T170" s="480"/>
      <c r="U170" s="480"/>
      <c r="V170" s="480"/>
      <c r="W170" s="480"/>
      <c r="X170" s="480"/>
      <c r="Y170" s="480"/>
      <c r="Z170" s="480"/>
      <c r="AA170" s="480"/>
      <c r="AB170" s="480"/>
      <c r="AC170" s="480"/>
      <c r="AD170" s="480"/>
      <c r="AE170" s="480"/>
      <c r="AF170" s="480"/>
      <c r="AG170" s="480"/>
      <c r="AH170" s="480"/>
      <c r="AI170" s="480"/>
      <c r="AJ170" s="480"/>
      <c r="AK170" s="480"/>
      <c r="AL170" s="480"/>
      <c r="AM170" s="480"/>
      <c r="AN170" s="480"/>
      <c r="AO170" s="480"/>
      <c r="AP170" s="480"/>
      <c r="AQ170" s="480"/>
      <c r="AR170" s="480"/>
      <c r="AS170" s="480"/>
      <c r="AT170" s="480"/>
      <c r="AU170" s="480"/>
      <c r="AV170" s="480"/>
      <c r="AW170" s="480"/>
      <c r="AX170" s="480"/>
      <c r="AY170" s="480"/>
      <c r="AZ170" s="480"/>
      <c r="BA170" s="480"/>
      <c r="BB170" s="480"/>
      <c r="BC170" s="480"/>
      <c r="BD170" s="480"/>
      <c r="BE170" s="480"/>
      <c r="BF170" s="480"/>
      <c r="CB170" s="481"/>
      <c r="CC170" s="481"/>
      <c r="CD170" s="481"/>
      <c r="CE170" s="481"/>
      <c r="CF170" s="481"/>
      <c r="CG170" s="481"/>
      <c r="CH170" s="481"/>
      <c r="CI170" s="481"/>
      <c r="CJ170" s="481"/>
      <c r="CK170" s="481"/>
      <c r="CL170" s="481"/>
      <c r="CM170" s="481"/>
      <c r="CN170" s="481"/>
      <c r="CO170" s="481"/>
      <c r="CP170" s="481"/>
      <c r="CQ170" s="481"/>
      <c r="CR170" s="481"/>
      <c r="CS170" s="481"/>
      <c r="CT170" s="481"/>
      <c r="CU170" s="481"/>
      <c r="CV170" s="481"/>
      <c r="CW170" s="481"/>
      <c r="CX170" s="481"/>
      <c r="CY170" s="481"/>
      <c r="CZ170" s="481"/>
      <c r="DA170" s="481"/>
      <c r="DB170" s="481"/>
      <c r="DC170" s="481"/>
      <c r="DD170" s="481"/>
      <c r="DE170" s="481"/>
      <c r="DF170" s="481"/>
      <c r="DG170" s="481"/>
      <c r="DH170" s="481"/>
      <c r="DI170" s="481"/>
      <c r="DJ170" s="481"/>
      <c r="DK170" s="481"/>
      <c r="DL170" s="481"/>
      <c r="DM170" s="481"/>
      <c r="DN170" s="481"/>
      <c r="DO170" s="481"/>
      <c r="DP170" s="481"/>
    </row>
    <row r="171" spans="1:120" x14ac:dyDescent="0.25">
      <c r="BC171" s="480"/>
      <c r="BD171" s="480"/>
      <c r="BE171" s="480"/>
      <c r="BF171" s="480"/>
      <c r="DM171" s="481"/>
      <c r="DN171" s="481"/>
      <c r="DO171" s="481"/>
      <c r="DP171" s="481"/>
    </row>
    <row r="172" spans="1:120" ht="15.75" thickBot="1" x14ac:dyDescent="0.3">
      <c r="BC172" s="480"/>
      <c r="BD172" s="480"/>
      <c r="BE172" s="480"/>
      <c r="BF172" s="480"/>
      <c r="DM172" s="481"/>
      <c r="DN172" s="481"/>
      <c r="DO172" s="481"/>
      <c r="DP172" s="481"/>
    </row>
    <row r="173" spans="1:120" customFormat="1" ht="17.25" thickBot="1" x14ac:dyDescent="0.4">
      <c r="A173" s="922" t="s">
        <v>275</v>
      </c>
      <c r="B173" s="923"/>
      <c r="C173" s="923"/>
      <c r="D173" s="923"/>
      <c r="E173" s="923"/>
      <c r="F173" s="923"/>
      <c r="G173" s="923"/>
      <c r="H173" s="923"/>
      <c r="I173" s="923"/>
      <c r="J173" s="923"/>
      <c r="K173" s="923"/>
      <c r="L173" s="923"/>
      <c r="M173" s="923"/>
      <c r="N173" s="923"/>
      <c r="O173" s="923"/>
      <c r="P173" s="923"/>
      <c r="Q173" s="923"/>
      <c r="R173" s="923"/>
      <c r="S173" s="923"/>
      <c r="T173" s="923"/>
      <c r="U173" s="923"/>
      <c r="V173" s="923"/>
      <c r="W173" s="924"/>
    </row>
    <row r="174" spans="1:120" customFormat="1" ht="21.75" customHeight="1" thickBot="1" x14ac:dyDescent="0.45">
      <c r="D174" s="537"/>
      <c r="AB174" s="519"/>
    </row>
    <row r="175" spans="1:120" ht="119.25" customHeight="1" x14ac:dyDescent="0.25">
      <c r="A175" s="843" t="s">
        <v>277</v>
      </c>
      <c r="B175" s="1026" t="s">
        <v>278</v>
      </c>
      <c r="C175" s="929"/>
      <c r="D175" s="1027" t="s">
        <v>279</v>
      </c>
      <c r="E175" s="1028"/>
      <c r="F175" s="1029" t="s">
        <v>280</v>
      </c>
      <c r="G175" s="929"/>
      <c r="H175" s="1030" t="s">
        <v>281</v>
      </c>
      <c r="I175" s="929"/>
      <c r="J175" s="1031" t="s">
        <v>282</v>
      </c>
      <c r="K175" s="929"/>
      <c r="L175" s="1032" t="s">
        <v>283</v>
      </c>
      <c r="M175" s="929"/>
      <c r="N175" s="1033" t="s">
        <v>326</v>
      </c>
      <c r="O175" s="929"/>
      <c r="P175" s="1034" t="s">
        <v>327</v>
      </c>
      <c r="Q175" s="929"/>
      <c r="R175" s="1026" t="s">
        <v>328</v>
      </c>
      <c r="S175" s="929"/>
      <c r="T175" s="882" t="s">
        <v>329</v>
      </c>
      <c r="U175" s="929"/>
      <c r="V175" s="1026" t="s">
        <v>330</v>
      </c>
      <c r="W175" s="1039"/>
      <c r="X175" s="480"/>
      <c r="Y175" s="480"/>
      <c r="Z175" s="480"/>
      <c r="AA175" s="480"/>
      <c r="AB175" s="480"/>
      <c r="AC175" s="480"/>
      <c r="AD175" s="480"/>
      <c r="AE175" s="480"/>
      <c r="AF175" s="480"/>
      <c r="AG175" s="480"/>
      <c r="AH175" s="480"/>
      <c r="AI175" s="480"/>
      <c r="AJ175" s="480"/>
      <c r="AK175" s="480"/>
      <c r="AL175" s="480"/>
      <c r="AM175" s="480"/>
      <c r="AN175" s="480"/>
      <c r="AO175" s="480"/>
      <c r="AP175" s="480"/>
      <c r="AQ175" s="480"/>
      <c r="AR175" s="480"/>
      <c r="AS175" s="480"/>
      <c r="AT175" s="480"/>
      <c r="AU175" s="480"/>
      <c r="AV175" s="480"/>
      <c r="AW175" s="480"/>
      <c r="AX175" s="480"/>
      <c r="AY175" s="480"/>
      <c r="AZ175" s="480"/>
      <c r="BA175" s="480"/>
      <c r="BB175" s="480"/>
      <c r="BC175" s="480"/>
      <c r="BD175" s="480"/>
      <c r="BE175" s="480"/>
      <c r="BF175" s="480"/>
      <c r="BY175" s="481"/>
      <c r="BZ175" s="481"/>
      <c r="CA175" s="481"/>
      <c r="CB175" s="481"/>
      <c r="CC175" s="481"/>
      <c r="CD175" s="481"/>
      <c r="CE175" s="481"/>
      <c r="CF175" s="481"/>
      <c r="CG175" s="481"/>
      <c r="CH175" s="481"/>
      <c r="CI175" s="481"/>
      <c r="CJ175" s="481"/>
      <c r="CK175" s="481"/>
      <c r="CL175" s="481"/>
      <c r="CM175" s="481"/>
      <c r="CN175" s="481"/>
      <c r="CO175" s="481"/>
      <c r="CP175" s="481"/>
      <c r="CQ175" s="481"/>
      <c r="CR175" s="481"/>
      <c r="CS175" s="481"/>
      <c r="CT175" s="481"/>
      <c r="CU175" s="481"/>
      <c r="CV175" s="481"/>
      <c r="CW175" s="481"/>
      <c r="CX175" s="481"/>
      <c r="CY175" s="481"/>
      <c r="CZ175" s="481"/>
      <c r="DA175" s="481"/>
      <c r="DB175" s="481"/>
      <c r="DC175" s="481"/>
      <c r="DD175" s="481"/>
      <c r="DE175" s="481"/>
      <c r="DF175" s="481"/>
      <c r="DG175" s="481"/>
      <c r="DH175" s="481"/>
      <c r="DI175" s="481"/>
      <c r="DJ175" s="481"/>
      <c r="DK175" s="481"/>
      <c r="DL175" s="481"/>
      <c r="DM175" s="481"/>
      <c r="DN175" s="481"/>
      <c r="DO175" s="481"/>
      <c r="DP175" s="481"/>
    </row>
    <row r="176" spans="1:120" x14ac:dyDescent="0.25">
      <c r="A176" s="844"/>
      <c r="B176" s="938" t="s">
        <v>192</v>
      </c>
      <c r="C176" s="939"/>
      <c r="D176" s="1040" t="s">
        <v>192</v>
      </c>
      <c r="E176" s="1041"/>
      <c r="F176" s="1042" t="s">
        <v>192</v>
      </c>
      <c r="G176" s="1043"/>
      <c r="H176" s="1044" t="s">
        <v>192</v>
      </c>
      <c r="I176" s="1045"/>
      <c r="J176" s="1046" t="s">
        <v>192</v>
      </c>
      <c r="K176" s="1047"/>
      <c r="L176" s="1048" t="s">
        <v>192</v>
      </c>
      <c r="M176" s="1049"/>
      <c r="N176" s="1050" t="s">
        <v>192</v>
      </c>
      <c r="O176" s="1051"/>
      <c r="P176" s="1054" t="s">
        <v>192</v>
      </c>
      <c r="Q176" s="1055"/>
      <c r="R176" s="938" t="s">
        <v>192</v>
      </c>
      <c r="S176" s="939"/>
      <c r="T176" s="873" t="s">
        <v>192</v>
      </c>
      <c r="U176" s="1056"/>
      <c r="V176" s="938" t="s">
        <v>192</v>
      </c>
      <c r="W176" s="1057"/>
      <c r="X176" s="480"/>
      <c r="Y176" s="480"/>
      <c r="Z176" s="480"/>
      <c r="AA176" s="480"/>
      <c r="AB176" s="480"/>
      <c r="AC176" s="480"/>
      <c r="AD176" s="480"/>
      <c r="AE176" s="480"/>
      <c r="AF176" s="480"/>
      <c r="AG176" s="480"/>
      <c r="AH176" s="480"/>
      <c r="AI176" s="480"/>
      <c r="AJ176" s="480"/>
      <c r="AK176" s="480"/>
      <c r="AL176" s="480"/>
      <c r="AM176" s="480"/>
      <c r="AN176" s="480"/>
      <c r="AO176" s="480"/>
      <c r="AP176" s="480"/>
      <c r="AQ176" s="480"/>
      <c r="AR176" s="480"/>
      <c r="AS176" s="480"/>
      <c r="AT176" s="480"/>
      <c r="AU176" s="480"/>
      <c r="AV176" s="480"/>
      <c r="AW176" s="480"/>
      <c r="AX176" s="480"/>
      <c r="AY176" s="480"/>
      <c r="AZ176" s="480"/>
      <c r="BA176" s="480"/>
      <c r="BB176" s="480"/>
      <c r="BC176" s="480"/>
      <c r="BD176" s="480"/>
      <c r="BE176" s="480"/>
      <c r="BF176" s="480"/>
      <c r="BX176" s="481"/>
      <c r="BY176" s="481"/>
      <c r="BZ176" s="481"/>
      <c r="CA176" s="481"/>
      <c r="CB176" s="481"/>
      <c r="CC176" s="481"/>
      <c r="CD176" s="481"/>
      <c r="CE176" s="481"/>
      <c r="CF176" s="481"/>
      <c r="CG176" s="481"/>
      <c r="CH176" s="481"/>
      <c r="CI176" s="481"/>
      <c r="CJ176" s="481"/>
      <c r="CK176" s="481"/>
      <c r="CL176" s="481"/>
      <c r="CM176" s="481"/>
      <c r="CN176" s="481"/>
      <c r="CO176" s="481"/>
      <c r="CP176" s="481"/>
      <c r="CQ176" s="481"/>
      <c r="CR176" s="481"/>
      <c r="CS176" s="481"/>
      <c r="CT176" s="481"/>
      <c r="CU176" s="481"/>
      <c r="CV176" s="481"/>
      <c r="CW176" s="481"/>
      <c r="CX176" s="481"/>
      <c r="CY176" s="481"/>
      <c r="CZ176" s="481"/>
      <c r="DA176" s="481"/>
      <c r="DB176" s="481"/>
      <c r="DC176" s="481"/>
      <c r="DD176" s="481"/>
      <c r="DE176" s="481"/>
      <c r="DF176" s="481"/>
      <c r="DG176" s="481"/>
      <c r="DH176" s="481"/>
      <c r="DI176" s="481"/>
      <c r="DJ176" s="481"/>
      <c r="DK176" s="481"/>
      <c r="DL176" s="481"/>
      <c r="DM176" s="481"/>
      <c r="DN176" s="481"/>
      <c r="DO176" s="481"/>
      <c r="DP176" s="481"/>
    </row>
    <row r="177" spans="1:120" ht="30" customHeight="1" thickBot="1" x14ac:dyDescent="0.3">
      <c r="A177" s="897"/>
      <c r="B177" s="343" t="s">
        <v>158</v>
      </c>
      <c r="C177" s="344" t="s">
        <v>156</v>
      </c>
      <c r="D177" s="410" t="s">
        <v>158</v>
      </c>
      <c r="E177" s="411" t="s">
        <v>156</v>
      </c>
      <c r="F177" s="412" t="s">
        <v>158</v>
      </c>
      <c r="G177" s="413" t="s">
        <v>156</v>
      </c>
      <c r="H177" s="414" t="s">
        <v>158</v>
      </c>
      <c r="I177" s="415" t="s">
        <v>156</v>
      </c>
      <c r="J177" s="416" t="s">
        <v>158</v>
      </c>
      <c r="K177" s="417" t="s">
        <v>156</v>
      </c>
      <c r="L177" s="418" t="s">
        <v>158</v>
      </c>
      <c r="M177" s="419" t="s">
        <v>156</v>
      </c>
      <c r="N177" s="420" t="s">
        <v>158</v>
      </c>
      <c r="O177" s="421" t="s">
        <v>156</v>
      </c>
      <c r="P177" s="422" t="s">
        <v>158</v>
      </c>
      <c r="Q177" s="423" t="s">
        <v>156</v>
      </c>
      <c r="R177" s="343" t="s">
        <v>158</v>
      </c>
      <c r="S177" s="344" t="s">
        <v>156</v>
      </c>
      <c r="T177" s="128" t="s">
        <v>158</v>
      </c>
      <c r="U177" s="424" t="s">
        <v>156</v>
      </c>
      <c r="V177" s="343" t="s">
        <v>158</v>
      </c>
      <c r="W177" s="425" t="s">
        <v>156</v>
      </c>
      <c r="X177" s="480"/>
      <c r="Y177" s="480"/>
      <c r="Z177" s="480"/>
      <c r="AA177" s="480"/>
      <c r="AB177" s="480"/>
      <c r="AC177" s="480"/>
      <c r="AD177" s="480"/>
      <c r="AE177" s="480"/>
      <c r="AF177" s="480"/>
      <c r="AG177" s="480"/>
      <c r="AH177" s="480"/>
      <c r="AI177" s="480"/>
      <c r="AJ177" s="480"/>
      <c r="AK177" s="480"/>
      <c r="AL177" s="480"/>
      <c r="AM177" s="480"/>
      <c r="AN177" s="480"/>
      <c r="AO177" s="480"/>
      <c r="AP177" s="480"/>
      <c r="AQ177" s="480"/>
      <c r="AR177" s="480"/>
      <c r="AS177" s="480"/>
      <c r="AT177" s="480"/>
      <c r="AU177" s="480"/>
      <c r="AV177" s="480"/>
      <c r="AW177" s="480"/>
      <c r="AX177" s="480"/>
      <c r="AY177" s="480"/>
      <c r="AZ177" s="480"/>
      <c r="BA177" s="480"/>
      <c r="BB177" s="480"/>
      <c r="BC177" s="480"/>
      <c r="BD177" s="480"/>
      <c r="BE177" s="480"/>
      <c r="BF177" s="480"/>
      <c r="BX177" s="481"/>
      <c r="BY177" s="481"/>
      <c r="BZ177" s="481"/>
      <c r="CA177" s="481"/>
      <c r="CB177" s="481"/>
      <c r="CC177" s="481"/>
      <c r="CD177" s="481"/>
      <c r="CE177" s="481"/>
      <c r="CF177" s="481"/>
      <c r="CG177" s="481"/>
      <c r="CH177" s="481"/>
      <c r="CI177" s="481"/>
      <c r="CJ177" s="481"/>
      <c r="CK177" s="481"/>
      <c r="CL177" s="481"/>
      <c r="CM177" s="481"/>
      <c r="CN177" s="481"/>
      <c r="CO177" s="481"/>
      <c r="CP177" s="481"/>
      <c r="CQ177" s="481"/>
      <c r="CR177" s="481"/>
      <c r="CS177" s="481"/>
      <c r="CT177" s="481"/>
      <c r="CU177" s="481"/>
      <c r="CV177" s="481"/>
      <c r="CW177" s="481"/>
      <c r="CX177" s="481"/>
      <c r="CY177" s="481"/>
      <c r="CZ177" s="481"/>
      <c r="DA177" s="481"/>
      <c r="DB177" s="481"/>
      <c r="DC177" s="481"/>
      <c r="DD177" s="481"/>
      <c r="DE177" s="481"/>
      <c r="DF177" s="481"/>
      <c r="DG177" s="481"/>
      <c r="DH177" s="481"/>
      <c r="DI177" s="481"/>
      <c r="DJ177" s="481"/>
      <c r="DK177" s="481"/>
      <c r="DL177" s="481"/>
      <c r="DM177" s="481"/>
      <c r="DN177" s="481"/>
      <c r="DO177" s="481"/>
      <c r="DP177" s="481"/>
    </row>
    <row r="178" spans="1:120" s="116" customFormat="1" ht="47.25" customHeight="1" thickBot="1" x14ac:dyDescent="0.3">
      <c r="A178" s="129" t="s">
        <v>289</v>
      </c>
      <c r="B178" s="507">
        <v>0</v>
      </c>
      <c r="C178" s="558">
        <v>0</v>
      </c>
      <c r="D178" s="507">
        <v>71</v>
      </c>
      <c r="E178" s="558">
        <v>8</v>
      </c>
      <c r="F178" s="507">
        <v>36</v>
      </c>
      <c r="G178" s="558">
        <v>10</v>
      </c>
      <c r="H178" s="507">
        <v>285</v>
      </c>
      <c r="I178" s="558">
        <v>10</v>
      </c>
      <c r="J178" s="507">
        <v>642</v>
      </c>
      <c r="K178" s="558">
        <v>0</v>
      </c>
      <c r="L178" s="507">
        <v>0</v>
      </c>
      <c r="M178" s="558">
        <v>0</v>
      </c>
      <c r="N178" s="426">
        <v>1034</v>
      </c>
      <c r="O178" s="427">
        <v>28</v>
      </c>
      <c r="P178" s="507">
        <v>19</v>
      </c>
      <c r="Q178" s="558"/>
      <c r="R178" s="559">
        <v>1139</v>
      </c>
      <c r="S178" s="560">
        <v>18</v>
      </c>
      <c r="T178" s="428">
        <v>1053</v>
      </c>
      <c r="U178" s="429">
        <v>28</v>
      </c>
      <c r="V178" s="430">
        <v>0.92449517120280944</v>
      </c>
      <c r="W178" s="431">
        <v>1.5555555555555556</v>
      </c>
      <c r="X178" s="506"/>
      <c r="Y178" s="506"/>
      <c r="Z178" s="506"/>
      <c r="AA178" s="506"/>
      <c r="AB178" s="506"/>
      <c r="AC178" s="506"/>
      <c r="AD178" s="506"/>
      <c r="AE178" s="506"/>
      <c r="AF178" s="506"/>
      <c r="AG178" s="506"/>
      <c r="AH178" s="506"/>
      <c r="AI178" s="506"/>
      <c r="AJ178" s="506"/>
      <c r="AK178" s="506"/>
      <c r="AL178" s="506"/>
      <c r="AM178" s="506"/>
      <c r="AN178" s="506"/>
      <c r="AO178" s="506"/>
      <c r="AP178" s="506"/>
      <c r="AQ178" s="506"/>
      <c r="AR178" s="506"/>
      <c r="AS178" s="506"/>
      <c r="AT178" s="506"/>
      <c r="AU178" s="506"/>
      <c r="AV178" s="506"/>
      <c r="AW178" s="506"/>
      <c r="AX178" s="506"/>
      <c r="AY178" s="506"/>
      <c r="AZ178" s="506"/>
      <c r="BA178" s="506"/>
      <c r="BB178" s="506"/>
      <c r="BC178" s="506"/>
      <c r="BD178" s="506"/>
      <c r="BE178" s="506"/>
      <c r="BF178" s="506"/>
      <c r="BG178" s="506"/>
      <c r="BH178" s="506"/>
      <c r="BI178" s="506"/>
      <c r="BJ178" s="506"/>
      <c r="BK178" s="506"/>
      <c r="BL178" s="506"/>
      <c r="BM178" s="506"/>
      <c r="BN178" s="506"/>
      <c r="BO178" s="506"/>
      <c r="BP178" s="506"/>
      <c r="BQ178" s="506"/>
      <c r="BR178" s="506"/>
      <c r="BS178" s="506"/>
      <c r="BT178" s="506"/>
      <c r="BU178" s="506"/>
      <c r="BV178" s="506"/>
    </row>
    <row r="179" spans="1:120" s="116" customFormat="1" ht="47.25" customHeight="1" thickBot="1" x14ac:dyDescent="0.3">
      <c r="A179" s="130" t="s">
        <v>234</v>
      </c>
      <c r="B179" s="450">
        <v>313</v>
      </c>
      <c r="C179" s="561">
        <v>0</v>
      </c>
      <c r="D179" s="450">
        <v>209</v>
      </c>
      <c r="E179" s="561">
        <v>99</v>
      </c>
      <c r="F179" s="450">
        <v>0</v>
      </c>
      <c r="G179" s="561">
        <v>157</v>
      </c>
      <c r="H179" s="450">
        <v>470</v>
      </c>
      <c r="I179" s="561">
        <v>157</v>
      </c>
      <c r="J179" s="450">
        <v>1933</v>
      </c>
      <c r="K179" s="561">
        <v>71</v>
      </c>
      <c r="L179" s="450">
        <v>52</v>
      </c>
      <c r="M179" s="561">
        <v>37</v>
      </c>
      <c r="N179" s="432">
        <v>2977</v>
      </c>
      <c r="O179" s="433">
        <v>521</v>
      </c>
      <c r="P179" s="450">
        <v>21</v>
      </c>
      <c r="Q179" s="561"/>
      <c r="R179" s="562">
        <v>3336</v>
      </c>
      <c r="S179" s="563">
        <v>546</v>
      </c>
      <c r="T179" s="434">
        <v>2998</v>
      </c>
      <c r="U179" s="435">
        <v>521</v>
      </c>
      <c r="V179" s="430">
        <v>0.89868105515587526</v>
      </c>
      <c r="W179" s="431">
        <v>0.95421245421245426</v>
      </c>
      <c r="X179" s="506"/>
      <c r="Y179" s="506"/>
      <c r="Z179" s="506"/>
      <c r="AA179" s="506"/>
      <c r="AB179" s="506"/>
      <c r="AC179" s="506"/>
      <c r="AD179" s="506"/>
      <c r="AE179" s="506"/>
      <c r="AF179" s="506"/>
      <c r="AG179" s="506"/>
      <c r="AH179" s="506"/>
      <c r="AI179" s="506"/>
      <c r="AJ179" s="506"/>
      <c r="AK179" s="506"/>
      <c r="AL179" s="506"/>
      <c r="AM179" s="506"/>
      <c r="AN179" s="506"/>
      <c r="AO179" s="506"/>
      <c r="AP179" s="506"/>
      <c r="AQ179" s="506"/>
      <c r="AR179" s="506"/>
      <c r="AS179" s="506"/>
      <c r="AT179" s="506"/>
      <c r="AU179" s="506"/>
      <c r="AV179" s="506"/>
      <c r="AW179" s="506"/>
      <c r="AX179" s="506"/>
      <c r="AY179" s="506"/>
      <c r="AZ179" s="506"/>
      <c r="BA179" s="506"/>
      <c r="BB179" s="506"/>
      <c r="BC179" s="506"/>
      <c r="BD179" s="506"/>
      <c r="BE179" s="506"/>
      <c r="BF179" s="506"/>
      <c r="BG179" s="506"/>
      <c r="BH179" s="506"/>
      <c r="BI179" s="506"/>
      <c r="BJ179" s="506"/>
      <c r="BK179" s="506"/>
      <c r="BL179" s="506"/>
      <c r="BM179" s="506"/>
      <c r="BN179" s="506"/>
      <c r="BO179" s="506"/>
      <c r="BP179" s="506"/>
      <c r="BQ179" s="506"/>
      <c r="BR179" s="506"/>
      <c r="BS179" s="506"/>
      <c r="BT179" s="506"/>
      <c r="BU179" s="506"/>
      <c r="BV179" s="506"/>
    </row>
    <row r="180" spans="1:120" s="116" customFormat="1" ht="47.25" customHeight="1" thickBot="1" x14ac:dyDescent="0.3">
      <c r="A180" s="130" t="s">
        <v>290</v>
      </c>
      <c r="B180" s="450">
        <v>0</v>
      </c>
      <c r="C180" s="561">
        <v>0</v>
      </c>
      <c r="D180" s="450">
        <v>460</v>
      </c>
      <c r="E180" s="561">
        <v>281</v>
      </c>
      <c r="F180" s="450">
        <v>98</v>
      </c>
      <c r="G180" s="561">
        <v>164</v>
      </c>
      <c r="H180" s="450">
        <v>98</v>
      </c>
      <c r="I180" s="561">
        <v>164</v>
      </c>
      <c r="J180" s="450">
        <v>1051</v>
      </c>
      <c r="K180" s="561">
        <v>523</v>
      </c>
      <c r="L180" s="450">
        <v>263</v>
      </c>
      <c r="M180" s="561">
        <v>100</v>
      </c>
      <c r="N180" s="432">
        <v>1970</v>
      </c>
      <c r="O180" s="433">
        <v>1232</v>
      </c>
      <c r="P180" s="450"/>
      <c r="Q180" s="561">
        <v>30</v>
      </c>
      <c r="R180" s="562">
        <v>2522</v>
      </c>
      <c r="S180" s="563">
        <v>1535</v>
      </c>
      <c r="T180" s="434">
        <v>1970</v>
      </c>
      <c r="U180" s="435">
        <v>1262</v>
      </c>
      <c r="V180" s="430">
        <v>0.78112609040444092</v>
      </c>
      <c r="W180" s="431">
        <v>0.8221498371335505</v>
      </c>
      <c r="X180" s="506"/>
      <c r="Y180" s="506"/>
      <c r="Z180" s="506"/>
      <c r="AA180" s="506"/>
      <c r="AB180" s="506"/>
      <c r="AC180" s="506"/>
      <c r="AD180" s="506"/>
      <c r="AE180" s="506"/>
      <c r="AF180" s="506"/>
      <c r="AG180" s="506"/>
      <c r="AH180" s="506"/>
      <c r="AI180" s="506"/>
      <c r="AJ180" s="506"/>
      <c r="AK180" s="506"/>
      <c r="AL180" s="506"/>
      <c r="AM180" s="506"/>
      <c r="AN180" s="506"/>
      <c r="AO180" s="506"/>
      <c r="AP180" s="506"/>
      <c r="AQ180" s="506"/>
      <c r="AR180" s="506"/>
      <c r="AS180" s="506"/>
      <c r="AT180" s="506"/>
      <c r="AU180" s="506"/>
      <c r="AV180" s="506"/>
      <c r="AW180" s="506"/>
      <c r="AX180" s="506"/>
      <c r="AY180" s="506"/>
      <c r="AZ180" s="506"/>
      <c r="BA180" s="506"/>
      <c r="BB180" s="506"/>
      <c r="BC180" s="506"/>
      <c r="BD180" s="506"/>
      <c r="BE180" s="506"/>
      <c r="BF180" s="506"/>
      <c r="BG180" s="506"/>
      <c r="BH180" s="506"/>
      <c r="BI180" s="506"/>
      <c r="BJ180" s="506"/>
      <c r="BK180" s="506"/>
      <c r="BL180" s="506"/>
      <c r="BM180" s="506"/>
      <c r="BN180" s="506"/>
      <c r="BO180" s="506"/>
      <c r="BP180" s="506"/>
      <c r="BQ180" s="506"/>
      <c r="BR180" s="506"/>
      <c r="BS180" s="506"/>
      <c r="BT180" s="506"/>
      <c r="BU180" s="506"/>
      <c r="BV180" s="506"/>
    </row>
    <row r="181" spans="1:120" s="116" customFormat="1" ht="47.25" customHeight="1" thickBot="1" x14ac:dyDescent="0.3">
      <c r="A181" s="131" t="s">
        <v>291</v>
      </c>
      <c r="B181" s="564">
        <v>0</v>
      </c>
      <c r="C181" s="565">
        <v>0</v>
      </c>
      <c r="D181" s="564">
        <v>248</v>
      </c>
      <c r="E181" s="565">
        <v>61</v>
      </c>
      <c r="F181" s="564">
        <v>83</v>
      </c>
      <c r="G181" s="565">
        <v>70</v>
      </c>
      <c r="H181" s="564">
        <v>28</v>
      </c>
      <c r="I181" s="565">
        <v>70</v>
      </c>
      <c r="J181" s="564">
        <v>674</v>
      </c>
      <c r="K181" s="565">
        <v>485</v>
      </c>
      <c r="L181" s="564">
        <v>0</v>
      </c>
      <c r="M181" s="565">
        <v>76</v>
      </c>
      <c r="N181" s="420">
        <v>1033</v>
      </c>
      <c r="O181" s="436">
        <v>762</v>
      </c>
      <c r="P181" s="564"/>
      <c r="Q181" s="565"/>
      <c r="R181" s="566">
        <v>938</v>
      </c>
      <c r="S181" s="567">
        <v>933</v>
      </c>
      <c r="T181" s="437">
        <v>1033</v>
      </c>
      <c r="U181" s="438">
        <v>762</v>
      </c>
      <c r="V181" s="430">
        <v>1.1012793176972282</v>
      </c>
      <c r="W181" s="431">
        <v>0.81672025723472674</v>
      </c>
      <c r="X181" s="506"/>
      <c r="Y181" s="506"/>
      <c r="Z181" s="506"/>
      <c r="AA181" s="506"/>
      <c r="AB181" s="506"/>
      <c r="AC181" s="506"/>
      <c r="AD181" s="506"/>
      <c r="AE181" s="506"/>
      <c r="AF181" s="506"/>
      <c r="AG181" s="506"/>
      <c r="AH181" s="506"/>
      <c r="AI181" s="506"/>
      <c r="AJ181" s="506"/>
      <c r="AK181" s="506"/>
      <c r="AL181" s="506"/>
      <c r="AM181" s="506"/>
      <c r="AN181" s="506"/>
      <c r="AO181" s="506"/>
      <c r="AP181" s="506"/>
      <c r="AQ181" s="506"/>
      <c r="AR181" s="506"/>
      <c r="AS181" s="506"/>
      <c r="AT181" s="506"/>
      <c r="AU181" s="506"/>
      <c r="AV181" s="506"/>
      <c r="AW181" s="506"/>
      <c r="AX181" s="506"/>
      <c r="AY181" s="506"/>
      <c r="AZ181" s="506"/>
      <c r="BA181" s="506"/>
      <c r="BB181" s="506"/>
      <c r="BC181" s="506"/>
      <c r="BD181" s="506"/>
      <c r="BE181" s="506"/>
      <c r="BF181" s="506"/>
      <c r="BG181" s="506"/>
      <c r="BH181" s="506"/>
      <c r="BI181" s="506"/>
      <c r="BJ181" s="506"/>
      <c r="BK181" s="506"/>
      <c r="BL181" s="506"/>
      <c r="BM181" s="506"/>
      <c r="BN181" s="506"/>
      <c r="BO181" s="506"/>
      <c r="BP181" s="506"/>
      <c r="BQ181" s="506"/>
      <c r="BR181" s="506"/>
      <c r="BS181" s="506"/>
      <c r="BT181" s="506"/>
      <c r="BU181" s="506"/>
      <c r="BV181" s="506"/>
    </row>
    <row r="182" spans="1:120" s="116" customFormat="1" ht="15.75" thickBot="1" x14ac:dyDescent="0.3">
      <c r="A182" s="1035" t="s">
        <v>292</v>
      </c>
      <c r="B182" s="439">
        <v>313</v>
      </c>
      <c r="C182" s="439">
        <v>0</v>
      </c>
      <c r="D182" s="440">
        <v>988</v>
      </c>
      <c r="E182" s="439">
        <v>449</v>
      </c>
      <c r="F182" s="440">
        <v>217</v>
      </c>
      <c r="G182" s="439">
        <v>401</v>
      </c>
      <c r="H182" s="440">
        <v>881</v>
      </c>
      <c r="I182" s="439">
        <v>401</v>
      </c>
      <c r="J182" s="440">
        <v>4300</v>
      </c>
      <c r="K182" s="439">
        <v>1079</v>
      </c>
      <c r="L182" s="440">
        <v>315</v>
      </c>
      <c r="M182" s="439">
        <v>213</v>
      </c>
      <c r="N182" s="441">
        <v>7014</v>
      </c>
      <c r="O182" s="441">
        <v>2543</v>
      </c>
      <c r="P182" s="440">
        <v>40</v>
      </c>
      <c r="Q182" s="439">
        <v>30</v>
      </c>
      <c r="R182" s="440">
        <v>7935</v>
      </c>
      <c r="S182" s="439">
        <v>3032</v>
      </c>
      <c r="T182" s="132">
        <v>7054</v>
      </c>
      <c r="U182" s="133">
        <v>2573</v>
      </c>
      <c r="V182" s="442">
        <v>0.88897290485192182</v>
      </c>
      <c r="W182" s="443">
        <v>0.84861477572559363</v>
      </c>
      <c r="AG182" s="506"/>
      <c r="AH182" s="506"/>
      <c r="AI182" s="506"/>
      <c r="AJ182" s="506"/>
      <c r="AK182" s="506"/>
      <c r="AL182" s="506"/>
      <c r="AM182" s="506"/>
      <c r="AN182" s="506"/>
      <c r="AO182" s="506"/>
      <c r="AP182" s="506"/>
      <c r="AQ182" s="506"/>
      <c r="AR182" s="506"/>
      <c r="AS182" s="506"/>
      <c r="AT182" s="506"/>
      <c r="AU182" s="506"/>
      <c r="AV182" s="506"/>
      <c r="AW182" s="506"/>
      <c r="AX182" s="506"/>
      <c r="AY182" s="506"/>
      <c r="AZ182" s="506"/>
      <c r="BA182" s="506"/>
      <c r="BB182" s="506"/>
      <c r="BC182" s="506"/>
      <c r="BD182" s="506"/>
      <c r="BE182" s="506"/>
      <c r="BF182" s="506"/>
      <c r="BG182" s="506"/>
      <c r="BH182" s="506"/>
      <c r="BI182" s="506"/>
      <c r="BJ182" s="506"/>
      <c r="BK182" s="506"/>
      <c r="BL182" s="506"/>
      <c r="BM182" s="506"/>
      <c r="BN182" s="506"/>
      <c r="BO182" s="506"/>
      <c r="BP182" s="506"/>
      <c r="BQ182" s="506"/>
      <c r="BR182" s="506"/>
      <c r="BS182" s="506"/>
      <c r="BT182" s="506"/>
      <c r="BU182" s="506"/>
      <c r="BV182" s="506"/>
      <c r="BW182" s="506"/>
      <c r="BX182" s="506"/>
      <c r="BY182" s="506"/>
      <c r="BZ182" s="506"/>
      <c r="CA182" s="506"/>
      <c r="CB182" s="506"/>
      <c r="CC182" s="506"/>
      <c r="CD182" s="506"/>
      <c r="CE182" s="506"/>
      <c r="CF182" s="506"/>
      <c r="CG182" s="506"/>
      <c r="CH182" s="506"/>
      <c r="CI182" s="506"/>
      <c r="CJ182" s="506"/>
      <c r="CK182" s="506"/>
      <c r="CL182" s="506"/>
      <c r="CM182" s="506"/>
      <c r="CN182" s="506"/>
      <c r="CO182" s="506"/>
      <c r="CP182" s="506"/>
    </row>
    <row r="183" spans="1:120" s="116" customFormat="1" ht="15.75" thickBot="1" x14ac:dyDescent="0.3">
      <c r="A183" s="1036"/>
      <c r="B183" s="1037">
        <v>313</v>
      </c>
      <c r="C183" s="1038"/>
      <c r="D183" s="1037">
        <v>1437</v>
      </c>
      <c r="E183" s="1038"/>
      <c r="F183" s="1037">
        <v>618</v>
      </c>
      <c r="G183" s="1038"/>
      <c r="H183" s="1037">
        <v>1282</v>
      </c>
      <c r="I183" s="1038"/>
      <c r="J183" s="1037">
        <v>5379</v>
      </c>
      <c r="K183" s="1038"/>
      <c r="L183" s="1037">
        <v>528</v>
      </c>
      <c r="M183" s="1038"/>
      <c r="N183" s="1037">
        <v>9557</v>
      </c>
      <c r="O183" s="1038"/>
      <c r="P183" s="1037">
        <v>70</v>
      </c>
      <c r="Q183" s="1038"/>
      <c r="R183" s="1037">
        <v>10967</v>
      </c>
      <c r="S183" s="1038"/>
      <c r="T183" s="912">
        <v>9627</v>
      </c>
      <c r="U183" s="1064"/>
      <c r="V183" s="568"/>
      <c r="W183" s="569"/>
      <c r="AG183" s="506"/>
      <c r="AH183" s="506"/>
      <c r="AI183" s="506"/>
      <c r="AJ183" s="506"/>
      <c r="AK183" s="506"/>
      <c r="AL183" s="506"/>
      <c r="AM183" s="506"/>
      <c r="AN183" s="506"/>
      <c r="AO183" s="506"/>
      <c r="AP183" s="506"/>
      <c r="AQ183" s="506"/>
      <c r="AR183" s="506"/>
      <c r="AS183" s="506"/>
      <c r="AT183" s="506"/>
      <c r="AU183" s="506"/>
      <c r="AV183" s="506"/>
      <c r="AW183" s="506"/>
      <c r="AX183" s="506"/>
      <c r="AY183" s="506"/>
      <c r="AZ183" s="506"/>
      <c r="BA183" s="506"/>
      <c r="BB183" s="506"/>
      <c r="BC183" s="506"/>
      <c r="BD183" s="506"/>
      <c r="BE183" s="506"/>
      <c r="BF183" s="506"/>
      <c r="BG183" s="506"/>
      <c r="BH183" s="506"/>
      <c r="BI183" s="506"/>
      <c r="BJ183" s="506"/>
      <c r="BK183" s="506"/>
      <c r="BL183" s="506"/>
      <c r="BM183" s="506"/>
      <c r="BN183" s="506"/>
      <c r="BO183" s="506"/>
      <c r="BP183" s="506"/>
      <c r="BQ183" s="506"/>
      <c r="BR183" s="506"/>
      <c r="BS183" s="506"/>
      <c r="BT183" s="506"/>
      <c r="BU183" s="506"/>
      <c r="BV183" s="506"/>
      <c r="BW183" s="506"/>
      <c r="BX183" s="506"/>
      <c r="BY183" s="506"/>
      <c r="BZ183" s="506"/>
      <c r="CA183" s="506"/>
      <c r="CB183" s="506"/>
      <c r="CC183" s="506"/>
      <c r="CD183" s="506"/>
      <c r="CE183" s="506"/>
      <c r="CF183" s="506"/>
      <c r="CG183" s="506"/>
      <c r="CH183" s="506"/>
      <c r="CI183" s="506"/>
      <c r="CJ183" s="506"/>
      <c r="CK183" s="506"/>
      <c r="CL183" s="506"/>
      <c r="CM183" s="506"/>
      <c r="CN183" s="506"/>
      <c r="CO183" s="506"/>
      <c r="CP183" s="506"/>
    </row>
    <row r="184" spans="1:120" s="116" customFormat="1" ht="15.75" thickBot="1" x14ac:dyDescent="0.3">
      <c r="A184" s="444" t="s">
        <v>331</v>
      </c>
      <c r="B184" s="1052">
        <v>1.6784641784641785E-2</v>
      </c>
      <c r="C184" s="1053"/>
      <c r="D184" s="1052">
        <v>7.7059202059202053E-2</v>
      </c>
      <c r="E184" s="1053"/>
      <c r="F184" s="1052">
        <v>3.3140283140283139E-2</v>
      </c>
      <c r="G184" s="1053"/>
      <c r="H184" s="1052">
        <v>6.874731874731875E-2</v>
      </c>
      <c r="I184" s="1053"/>
      <c r="J184" s="1052">
        <v>0.28844916344916344</v>
      </c>
      <c r="K184" s="1053"/>
      <c r="L184" s="1052">
        <v>2.8314028314028315E-2</v>
      </c>
      <c r="M184" s="1053"/>
      <c r="N184" s="1052">
        <v>0.51249463749463753</v>
      </c>
      <c r="O184" s="1053"/>
      <c r="P184" s="1052">
        <v>3.7537537537537537E-3</v>
      </c>
      <c r="Q184" s="1053"/>
      <c r="R184" s="1058">
        <v>0.59396663778162917</v>
      </c>
      <c r="S184" s="1059"/>
      <c r="T184" s="1060">
        <v>0.51624839124839128</v>
      </c>
      <c r="U184" s="1061"/>
      <c r="V184" s="1062"/>
      <c r="W184" s="1063"/>
      <c r="AG184" s="506"/>
      <c r="AH184" s="506"/>
      <c r="AI184" s="506"/>
      <c r="AJ184" s="506"/>
      <c r="AK184" s="506"/>
      <c r="AL184" s="506"/>
      <c r="AM184" s="506"/>
      <c r="AN184" s="506"/>
      <c r="AO184" s="506"/>
      <c r="AP184" s="506"/>
      <c r="AQ184" s="506"/>
      <c r="AR184" s="506"/>
      <c r="AS184" s="506"/>
      <c r="AT184" s="506"/>
      <c r="AU184" s="506"/>
      <c r="AV184" s="506"/>
      <c r="AW184" s="506"/>
      <c r="AX184" s="506"/>
      <c r="AY184" s="506"/>
      <c r="AZ184" s="506"/>
      <c r="BA184" s="506"/>
      <c r="BB184" s="506"/>
      <c r="BC184" s="506"/>
      <c r="BD184" s="506"/>
      <c r="BE184" s="506"/>
      <c r="BF184" s="506"/>
      <c r="BG184" s="506"/>
      <c r="BH184" s="506"/>
      <c r="BI184" s="506"/>
      <c r="BJ184" s="506"/>
      <c r="BK184" s="506"/>
      <c r="BL184" s="506"/>
      <c r="BM184" s="506"/>
      <c r="BN184" s="506"/>
      <c r="BO184" s="506"/>
      <c r="BP184" s="506"/>
      <c r="BQ184" s="506"/>
      <c r="BR184" s="506"/>
      <c r="BS184" s="506"/>
      <c r="BT184" s="506"/>
      <c r="BU184" s="506"/>
      <c r="BV184" s="506"/>
      <c r="BW184" s="506"/>
      <c r="BX184" s="506"/>
      <c r="BY184" s="506"/>
      <c r="BZ184" s="506"/>
      <c r="CA184" s="506"/>
      <c r="CB184" s="506"/>
      <c r="CC184" s="506"/>
      <c r="CD184" s="506"/>
      <c r="CE184" s="506"/>
      <c r="CF184" s="506"/>
      <c r="CG184" s="506"/>
      <c r="CH184" s="506"/>
      <c r="CI184" s="506"/>
      <c r="CJ184" s="506"/>
      <c r="CK184" s="506"/>
      <c r="CL184" s="506"/>
      <c r="CM184" s="506"/>
      <c r="CN184" s="506"/>
      <c r="CO184" s="506"/>
      <c r="CP184" s="506"/>
    </row>
    <row r="185" spans="1:120" ht="18" customHeight="1" x14ac:dyDescent="0.25">
      <c r="E185" s="116"/>
      <c r="AU185" s="480"/>
      <c r="AV185" s="480"/>
      <c r="AW185" s="480"/>
      <c r="AX185" s="480"/>
      <c r="AY185" s="480"/>
      <c r="AZ185" s="480"/>
      <c r="BA185" s="480"/>
      <c r="BB185" s="480"/>
      <c r="BC185" s="480"/>
      <c r="BD185" s="480"/>
      <c r="BE185" s="480"/>
      <c r="BF185" s="480"/>
      <c r="DE185" s="481"/>
      <c r="DF185" s="481"/>
      <c r="DG185" s="481"/>
      <c r="DH185" s="481"/>
      <c r="DI185" s="481"/>
      <c r="DJ185" s="481"/>
      <c r="DK185" s="481"/>
      <c r="DL185" s="481"/>
      <c r="DM185" s="481"/>
      <c r="DN185" s="481"/>
      <c r="DO185" s="481"/>
      <c r="DP185" s="481"/>
    </row>
    <row r="186" spans="1:120" customFormat="1" x14ac:dyDescent="0.25"/>
    <row r="187" spans="1:120" customFormat="1" ht="15.75" thickBot="1" x14ac:dyDescent="0.3"/>
    <row r="188" spans="1:120" customFormat="1" ht="75" customHeight="1" x14ac:dyDescent="0.25">
      <c r="A188" s="843" t="s">
        <v>277</v>
      </c>
      <c r="B188" s="1026" t="s">
        <v>278</v>
      </c>
      <c r="C188" s="929"/>
      <c r="D188" s="1027" t="s">
        <v>279</v>
      </c>
      <c r="E188" s="1028"/>
      <c r="F188" s="1029" t="s">
        <v>280</v>
      </c>
      <c r="G188" s="929"/>
      <c r="H188" s="1030" t="s">
        <v>281</v>
      </c>
      <c r="I188" s="929"/>
      <c r="J188" s="1031" t="s">
        <v>282</v>
      </c>
      <c r="K188" s="929"/>
      <c r="L188" s="1032" t="s">
        <v>283</v>
      </c>
      <c r="M188" s="929"/>
      <c r="N188" s="1033" t="s">
        <v>326</v>
      </c>
      <c r="O188" s="929"/>
      <c r="P188" s="1034" t="s">
        <v>327</v>
      </c>
      <c r="Q188" s="929"/>
      <c r="R188" s="1026" t="s">
        <v>328</v>
      </c>
      <c r="S188" s="929"/>
      <c r="T188" s="882" t="s">
        <v>329</v>
      </c>
      <c r="U188" s="929"/>
      <c r="V188" s="1032" t="s">
        <v>330</v>
      </c>
      <c r="W188" s="1065"/>
    </row>
    <row r="189" spans="1:120" customFormat="1" x14ac:dyDescent="0.25">
      <c r="A189" s="844"/>
      <c r="B189" s="938" t="s">
        <v>117</v>
      </c>
      <c r="C189" s="939"/>
      <c r="D189" s="1040" t="s">
        <v>117</v>
      </c>
      <c r="E189" s="1041"/>
      <c r="F189" s="1042" t="s">
        <v>117</v>
      </c>
      <c r="G189" s="1043"/>
      <c r="H189" s="1044" t="s">
        <v>117</v>
      </c>
      <c r="I189" s="1045"/>
      <c r="J189" s="1046" t="s">
        <v>117</v>
      </c>
      <c r="K189" s="1047"/>
      <c r="L189" s="1048" t="s">
        <v>117</v>
      </c>
      <c r="M189" s="1049"/>
      <c r="N189" s="1050" t="s">
        <v>117</v>
      </c>
      <c r="O189" s="1051"/>
      <c r="P189" s="1054" t="s">
        <v>117</v>
      </c>
      <c r="Q189" s="1055"/>
      <c r="R189" s="938" t="s">
        <v>117</v>
      </c>
      <c r="S189" s="939"/>
      <c r="T189" s="873" t="s">
        <v>117</v>
      </c>
      <c r="U189" s="1056"/>
      <c r="V189" s="1048" t="s">
        <v>117</v>
      </c>
      <c r="W189" s="1066"/>
    </row>
    <row r="190" spans="1:120" customFormat="1" ht="15.75" thickBot="1" x14ac:dyDescent="0.3">
      <c r="A190" s="897"/>
      <c r="B190" s="343" t="s">
        <v>158</v>
      </c>
      <c r="C190" s="344" t="s">
        <v>156</v>
      </c>
      <c r="D190" s="410" t="s">
        <v>158</v>
      </c>
      <c r="E190" s="411" t="s">
        <v>156</v>
      </c>
      <c r="F190" s="412" t="s">
        <v>158</v>
      </c>
      <c r="G190" s="413" t="s">
        <v>156</v>
      </c>
      <c r="H190" s="414" t="s">
        <v>158</v>
      </c>
      <c r="I190" s="415" t="s">
        <v>156</v>
      </c>
      <c r="J190" s="416" t="s">
        <v>158</v>
      </c>
      <c r="K190" s="417" t="s">
        <v>156</v>
      </c>
      <c r="L190" s="418" t="s">
        <v>158</v>
      </c>
      <c r="M190" s="419" t="s">
        <v>156</v>
      </c>
      <c r="N190" s="420" t="s">
        <v>158</v>
      </c>
      <c r="O190" s="421" t="s">
        <v>156</v>
      </c>
      <c r="P190" s="422" t="s">
        <v>158</v>
      </c>
      <c r="Q190" s="423" t="s">
        <v>156</v>
      </c>
      <c r="R190" s="343" t="s">
        <v>158</v>
      </c>
      <c r="S190" s="344" t="s">
        <v>156</v>
      </c>
      <c r="T190" s="128" t="s">
        <v>158</v>
      </c>
      <c r="U190" s="424" t="s">
        <v>156</v>
      </c>
      <c r="V190" s="418" t="s">
        <v>158</v>
      </c>
      <c r="W190" s="445" t="s">
        <v>156</v>
      </c>
    </row>
    <row r="191" spans="1:120" customFormat="1" ht="48" customHeight="1" thickBot="1" x14ac:dyDescent="0.3">
      <c r="A191" s="129" t="s">
        <v>289</v>
      </c>
      <c r="B191" s="507">
        <v>0</v>
      </c>
      <c r="C191" s="558">
        <v>0</v>
      </c>
      <c r="D191" s="507">
        <v>6</v>
      </c>
      <c r="E191" s="558">
        <v>8</v>
      </c>
      <c r="F191" s="507">
        <v>3</v>
      </c>
      <c r="G191" s="558">
        <v>10</v>
      </c>
      <c r="H191" s="507">
        <v>25</v>
      </c>
      <c r="I191" s="558">
        <v>10</v>
      </c>
      <c r="J191" s="507">
        <v>56</v>
      </c>
      <c r="K191" s="558">
        <v>0</v>
      </c>
      <c r="L191" s="507">
        <v>0</v>
      </c>
      <c r="M191" s="558">
        <v>0</v>
      </c>
      <c r="N191" s="426">
        <v>90</v>
      </c>
      <c r="O191" s="427">
        <v>28</v>
      </c>
      <c r="P191" s="507">
        <v>19</v>
      </c>
      <c r="Q191" s="558"/>
      <c r="R191" s="520">
        <v>109</v>
      </c>
      <c r="S191" s="521">
        <v>18</v>
      </c>
      <c r="T191" s="446">
        <v>109</v>
      </c>
      <c r="U191" s="447">
        <v>28</v>
      </c>
      <c r="V191" s="448">
        <v>1</v>
      </c>
      <c r="W191" s="449">
        <v>1.5555555555555556</v>
      </c>
    </row>
    <row r="192" spans="1:120" customFormat="1" ht="43.5" customHeight="1" thickBot="1" x14ac:dyDescent="0.3">
      <c r="A192" s="130" t="s">
        <v>234</v>
      </c>
      <c r="B192" s="450">
        <v>55</v>
      </c>
      <c r="C192" s="561">
        <v>0</v>
      </c>
      <c r="D192" s="450">
        <v>37</v>
      </c>
      <c r="E192" s="561">
        <v>99</v>
      </c>
      <c r="F192" s="450">
        <v>0</v>
      </c>
      <c r="G192" s="561">
        <v>157</v>
      </c>
      <c r="H192" s="450">
        <v>84</v>
      </c>
      <c r="I192" s="561">
        <v>157</v>
      </c>
      <c r="J192" s="450">
        <v>345</v>
      </c>
      <c r="K192" s="561">
        <v>71</v>
      </c>
      <c r="L192" s="450">
        <v>9</v>
      </c>
      <c r="M192" s="561">
        <v>37</v>
      </c>
      <c r="N192" s="432">
        <v>530</v>
      </c>
      <c r="O192" s="433">
        <v>521</v>
      </c>
      <c r="P192" s="450">
        <v>21</v>
      </c>
      <c r="Q192" s="561"/>
      <c r="R192" s="523">
        <v>551</v>
      </c>
      <c r="S192" s="524">
        <v>546</v>
      </c>
      <c r="T192" s="450">
        <v>551</v>
      </c>
      <c r="U192" s="451">
        <v>521</v>
      </c>
      <c r="V192" s="448">
        <v>1</v>
      </c>
      <c r="W192" s="449">
        <v>0.95421245421245426</v>
      </c>
    </row>
    <row r="193" spans="1:23" customFormat="1" ht="42" customHeight="1" thickBot="1" x14ac:dyDescent="0.3">
      <c r="A193" s="130" t="s">
        <v>290</v>
      </c>
      <c r="B193" s="450">
        <v>0</v>
      </c>
      <c r="C193" s="561">
        <v>0</v>
      </c>
      <c r="D193" s="450">
        <v>336</v>
      </c>
      <c r="E193" s="561">
        <v>281</v>
      </c>
      <c r="F193" s="450">
        <v>72</v>
      </c>
      <c r="G193" s="561">
        <v>164</v>
      </c>
      <c r="H193" s="450">
        <v>72</v>
      </c>
      <c r="I193" s="561">
        <v>164</v>
      </c>
      <c r="J193" s="450">
        <v>770</v>
      </c>
      <c r="K193" s="561">
        <v>523</v>
      </c>
      <c r="L193" s="450">
        <v>192</v>
      </c>
      <c r="M193" s="561">
        <v>100</v>
      </c>
      <c r="N193" s="432">
        <v>1442</v>
      </c>
      <c r="O193" s="433">
        <v>1232</v>
      </c>
      <c r="P193" s="450"/>
      <c r="Q193" s="561">
        <v>30</v>
      </c>
      <c r="R193" s="523">
        <v>1442</v>
      </c>
      <c r="S193" s="524">
        <v>1535</v>
      </c>
      <c r="T193" s="450">
        <v>1442</v>
      </c>
      <c r="U193" s="451">
        <v>1262</v>
      </c>
      <c r="V193" s="448">
        <v>1</v>
      </c>
      <c r="W193" s="449">
        <v>0.8221498371335505</v>
      </c>
    </row>
    <row r="194" spans="1:23" customFormat="1" ht="47.25" customHeight="1" thickBot="1" x14ac:dyDescent="0.3">
      <c r="A194" s="131" t="s">
        <v>291</v>
      </c>
      <c r="B194" s="564">
        <v>0</v>
      </c>
      <c r="C194" s="565">
        <v>0</v>
      </c>
      <c r="D194" s="564">
        <v>270</v>
      </c>
      <c r="E194" s="565">
        <v>61</v>
      </c>
      <c r="F194" s="564">
        <v>90</v>
      </c>
      <c r="G194" s="565">
        <v>70</v>
      </c>
      <c r="H194" s="564">
        <v>30</v>
      </c>
      <c r="I194" s="565">
        <v>70</v>
      </c>
      <c r="J194" s="564">
        <v>736</v>
      </c>
      <c r="K194" s="565">
        <v>485</v>
      </c>
      <c r="L194" s="564">
        <v>0</v>
      </c>
      <c r="M194" s="565">
        <v>76</v>
      </c>
      <c r="N194" s="420">
        <v>1126</v>
      </c>
      <c r="O194" s="436">
        <v>762</v>
      </c>
      <c r="P194" s="564"/>
      <c r="Q194" s="565"/>
      <c r="R194" s="525">
        <v>1126</v>
      </c>
      <c r="S194" s="526">
        <v>933</v>
      </c>
      <c r="T194" s="452">
        <v>1126</v>
      </c>
      <c r="U194" s="453">
        <v>762</v>
      </c>
      <c r="V194" s="448">
        <v>1</v>
      </c>
      <c r="W194" s="449">
        <v>0.81672025723472674</v>
      </c>
    </row>
    <row r="195" spans="1:23" customFormat="1" ht="15.75" thickBot="1" x14ac:dyDescent="0.3">
      <c r="A195" s="1035" t="s">
        <v>292</v>
      </c>
      <c r="B195" s="439">
        <v>55</v>
      </c>
      <c r="C195" s="439">
        <v>0</v>
      </c>
      <c r="D195" s="440">
        <v>649</v>
      </c>
      <c r="E195" s="439">
        <v>449</v>
      </c>
      <c r="F195" s="440">
        <v>165</v>
      </c>
      <c r="G195" s="439">
        <v>401</v>
      </c>
      <c r="H195" s="440">
        <v>211</v>
      </c>
      <c r="I195" s="439">
        <v>401</v>
      </c>
      <c r="J195" s="440">
        <v>1907</v>
      </c>
      <c r="K195" s="439">
        <v>1079</v>
      </c>
      <c r="L195" s="440">
        <v>201</v>
      </c>
      <c r="M195" s="439">
        <v>213</v>
      </c>
      <c r="N195" s="441">
        <v>3188</v>
      </c>
      <c r="O195" s="441">
        <v>2543</v>
      </c>
      <c r="P195" s="440">
        <v>40</v>
      </c>
      <c r="Q195" s="439">
        <v>30</v>
      </c>
      <c r="R195" s="440">
        <v>3228</v>
      </c>
      <c r="S195" s="439">
        <v>3032</v>
      </c>
      <c r="T195" s="132">
        <v>3228</v>
      </c>
      <c r="U195" s="133">
        <v>2573</v>
      </c>
      <c r="V195" s="454">
        <v>1</v>
      </c>
      <c r="W195" s="455">
        <v>0.84861477572559363</v>
      </c>
    </row>
    <row r="196" spans="1:23" customFormat="1" ht="15.75" thickBot="1" x14ac:dyDescent="0.3">
      <c r="A196" s="1036"/>
      <c r="B196" s="1037">
        <v>55</v>
      </c>
      <c r="C196" s="1038"/>
      <c r="D196" s="1037">
        <v>1098</v>
      </c>
      <c r="E196" s="1038"/>
      <c r="F196" s="1037">
        <v>566</v>
      </c>
      <c r="G196" s="1038"/>
      <c r="H196" s="1037">
        <v>612</v>
      </c>
      <c r="I196" s="1038"/>
      <c r="J196" s="1037">
        <v>2986</v>
      </c>
      <c r="K196" s="1038"/>
      <c r="L196" s="1037">
        <v>414</v>
      </c>
      <c r="M196" s="1038"/>
      <c r="N196" s="1037">
        <v>5731</v>
      </c>
      <c r="O196" s="1038"/>
      <c r="P196" s="1037">
        <v>70</v>
      </c>
      <c r="Q196" s="1038"/>
      <c r="R196" s="1037">
        <v>6260</v>
      </c>
      <c r="S196" s="1038"/>
      <c r="T196" s="912">
        <v>5801</v>
      </c>
      <c r="U196" s="1064"/>
      <c r="V196" s="568"/>
      <c r="W196" s="569"/>
    </row>
    <row r="197" spans="1:23" customFormat="1" ht="15.75" thickBot="1" x14ac:dyDescent="0.3">
      <c r="A197" s="444" t="s">
        <v>331</v>
      </c>
      <c r="B197" s="1052">
        <v>4.8854148161307518E-3</v>
      </c>
      <c r="C197" s="1053"/>
      <c r="D197" s="1052">
        <v>9.7530644874755726E-2</v>
      </c>
      <c r="E197" s="1053"/>
      <c r="F197" s="1052">
        <v>5.0275359744181916E-2</v>
      </c>
      <c r="G197" s="1053"/>
      <c r="H197" s="1052">
        <v>5.4361343044945817E-2</v>
      </c>
      <c r="I197" s="1053"/>
      <c r="J197" s="1052">
        <v>0.265233611653935</v>
      </c>
      <c r="K197" s="1053"/>
      <c r="L197" s="1052">
        <v>3.6773849706875111E-2</v>
      </c>
      <c r="M197" s="1053"/>
      <c r="N197" s="1052">
        <v>0.50906022384082428</v>
      </c>
      <c r="O197" s="1053"/>
      <c r="P197" s="1052">
        <v>6.2178006750755015E-3</v>
      </c>
      <c r="Q197" s="1053"/>
      <c r="R197" s="1058">
        <v>0.61705273533760474</v>
      </c>
      <c r="S197" s="1059"/>
      <c r="T197" s="1060">
        <v>0.51527802451589977</v>
      </c>
      <c r="U197" s="1061"/>
      <c r="V197" s="1062"/>
      <c r="W197" s="1063"/>
    </row>
  </sheetData>
  <sheetProtection algorithmName="SHA-512" hashValue="ay4tIxQYqSRuYlm6ozZPuwdua8sNGBEhykUXQyLNNIEglrT4NuE7166GjwRYACLa4UiZA+zcKh2TJHUwvUsT8g==" saltValue="hxKhCZwzbysb5AqNzUDkfw==" spinCount="100000" sheet="1" selectLockedCells="1"/>
  <mergeCells count="365">
    <mergeCell ref="R197:S197"/>
    <mergeCell ref="T197:U197"/>
    <mergeCell ref="V197:W197"/>
    <mergeCell ref="R196:S196"/>
    <mergeCell ref="T196:U196"/>
    <mergeCell ref="B197:C197"/>
    <mergeCell ref="D197:E197"/>
    <mergeCell ref="F197:G197"/>
    <mergeCell ref="H197:I197"/>
    <mergeCell ref="J197:K197"/>
    <mergeCell ref="L197:M197"/>
    <mergeCell ref="N197:O197"/>
    <mergeCell ref="P197:Q197"/>
    <mergeCell ref="A195:A196"/>
    <mergeCell ref="B196:C196"/>
    <mergeCell ref="D196:E196"/>
    <mergeCell ref="F196:G196"/>
    <mergeCell ref="H196:I196"/>
    <mergeCell ref="J196:K196"/>
    <mergeCell ref="L196:M196"/>
    <mergeCell ref="N196:O196"/>
    <mergeCell ref="P196:Q196"/>
    <mergeCell ref="L188:M188"/>
    <mergeCell ref="N188:O188"/>
    <mergeCell ref="P188:Q188"/>
    <mergeCell ref="R188:S188"/>
    <mergeCell ref="T188:U188"/>
    <mergeCell ref="V188:W188"/>
    <mergeCell ref="A188:A190"/>
    <mergeCell ref="B188:C188"/>
    <mergeCell ref="D188:E188"/>
    <mergeCell ref="F188:G188"/>
    <mergeCell ref="H188:I188"/>
    <mergeCell ref="J188:K188"/>
    <mergeCell ref="B189:C189"/>
    <mergeCell ref="D189:E189"/>
    <mergeCell ref="F189:G189"/>
    <mergeCell ref="H189:I189"/>
    <mergeCell ref="V189:W189"/>
    <mergeCell ref="J189:K189"/>
    <mergeCell ref="L189:M189"/>
    <mergeCell ref="N189:O189"/>
    <mergeCell ref="P189:Q189"/>
    <mergeCell ref="R189:S189"/>
    <mergeCell ref="T189:U189"/>
    <mergeCell ref="B184:C184"/>
    <mergeCell ref="D184:E184"/>
    <mergeCell ref="F184:G184"/>
    <mergeCell ref="H184:I184"/>
    <mergeCell ref="J184:K184"/>
    <mergeCell ref="P176:Q176"/>
    <mergeCell ref="R176:S176"/>
    <mergeCell ref="T176:U176"/>
    <mergeCell ref="V176:W176"/>
    <mergeCell ref="L184:M184"/>
    <mergeCell ref="N184:O184"/>
    <mergeCell ref="P184:Q184"/>
    <mergeCell ref="R184:S184"/>
    <mergeCell ref="T184:U184"/>
    <mergeCell ref="V184:W184"/>
    <mergeCell ref="L183:M183"/>
    <mergeCell ref="N183:O183"/>
    <mergeCell ref="P183:Q183"/>
    <mergeCell ref="R183:S183"/>
    <mergeCell ref="T183:U183"/>
    <mergeCell ref="A182:A183"/>
    <mergeCell ref="B183:C183"/>
    <mergeCell ref="D183:E183"/>
    <mergeCell ref="F183:G183"/>
    <mergeCell ref="H183:I183"/>
    <mergeCell ref="J183:K183"/>
    <mergeCell ref="R175:S175"/>
    <mergeCell ref="T175:U175"/>
    <mergeCell ref="V175:W175"/>
    <mergeCell ref="B176:C176"/>
    <mergeCell ref="D176:E176"/>
    <mergeCell ref="F176:G176"/>
    <mergeCell ref="H176:I176"/>
    <mergeCell ref="J176:K176"/>
    <mergeCell ref="L176:M176"/>
    <mergeCell ref="N176:O176"/>
    <mergeCell ref="A173:W173"/>
    <mergeCell ref="A175:A177"/>
    <mergeCell ref="B175:C175"/>
    <mergeCell ref="D175:E175"/>
    <mergeCell ref="F175:G175"/>
    <mergeCell ref="H175:I175"/>
    <mergeCell ref="J175:K175"/>
    <mergeCell ref="L175:M175"/>
    <mergeCell ref="N175:O175"/>
    <mergeCell ref="P175:Q175"/>
    <mergeCell ref="A163:B163"/>
    <mergeCell ref="A166:I166"/>
    <mergeCell ref="A167:E167"/>
    <mergeCell ref="A168:E168"/>
    <mergeCell ref="A169:E169"/>
    <mergeCell ref="A170:E170"/>
    <mergeCell ref="A144:A148"/>
    <mergeCell ref="A149:B149"/>
    <mergeCell ref="A150:A153"/>
    <mergeCell ref="A154:B154"/>
    <mergeCell ref="A155:B155"/>
    <mergeCell ref="A156:A162"/>
    <mergeCell ref="T138:U138"/>
    <mergeCell ref="V138:W138"/>
    <mergeCell ref="X138:Y138"/>
    <mergeCell ref="A140:B140"/>
    <mergeCell ref="A141:B141"/>
    <mergeCell ref="A142:A143"/>
    <mergeCell ref="T137:U137"/>
    <mergeCell ref="V137:W137"/>
    <mergeCell ref="X137:Y137"/>
    <mergeCell ref="C138:E138"/>
    <mergeCell ref="F138:H138"/>
    <mergeCell ref="J138:K138"/>
    <mergeCell ref="L138:M138"/>
    <mergeCell ref="N138:O138"/>
    <mergeCell ref="P138:Q138"/>
    <mergeCell ref="R138:S138"/>
    <mergeCell ref="I137:I139"/>
    <mergeCell ref="J137:K137"/>
    <mergeCell ref="L137:M137"/>
    <mergeCell ref="N137:O137"/>
    <mergeCell ref="P137:Q137"/>
    <mergeCell ref="R137:S137"/>
    <mergeCell ref="A125:B125"/>
    <mergeCell ref="A126:A132"/>
    <mergeCell ref="A133:B133"/>
    <mergeCell ref="A137:B139"/>
    <mergeCell ref="C137:E137"/>
    <mergeCell ref="F137:H137"/>
    <mergeCell ref="A111:B111"/>
    <mergeCell ref="A112:A113"/>
    <mergeCell ref="A114:A118"/>
    <mergeCell ref="A119:B119"/>
    <mergeCell ref="A120:A123"/>
    <mergeCell ref="A124:B124"/>
    <mergeCell ref="X108:Y108"/>
    <mergeCell ref="A110:B110"/>
    <mergeCell ref="P107:Q107"/>
    <mergeCell ref="R107:S107"/>
    <mergeCell ref="T107:U107"/>
    <mergeCell ref="V107:W107"/>
    <mergeCell ref="X107:Y107"/>
    <mergeCell ref="C108:E108"/>
    <mergeCell ref="F108:H108"/>
    <mergeCell ref="J108:K108"/>
    <mergeCell ref="L108:M108"/>
    <mergeCell ref="N108:O108"/>
    <mergeCell ref="A101:J101"/>
    <mergeCell ref="A105:W105"/>
    <mergeCell ref="A107:B109"/>
    <mergeCell ref="C107:E107"/>
    <mergeCell ref="F107:H107"/>
    <mergeCell ref="I107:I109"/>
    <mergeCell ref="J107:K107"/>
    <mergeCell ref="L107:M107"/>
    <mergeCell ref="N107:O107"/>
    <mergeCell ref="P108:Q108"/>
    <mergeCell ref="R108:S108"/>
    <mergeCell ref="T108:U108"/>
    <mergeCell ref="V108:W108"/>
    <mergeCell ref="B99:B100"/>
    <mergeCell ref="C99:E99"/>
    <mergeCell ref="K99:K100"/>
    <mergeCell ref="L99:L100"/>
    <mergeCell ref="M99:M100"/>
    <mergeCell ref="C100:E100"/>
    <mergeCell ref="A91:J91"/>
    <mergeCell ref="A95:M95"/>
    <mergeCell ref="A96:B96"/>
    <mergeCell ref="A97:A100"/>
    <mergeCell ref="B97:B98"/>
    <mergeCell ref="C97:E97"/>
    <mergeCell ref="K97:K98"/>
    <mergeCell ref="L97:L98"/>
    <mergeCell ref="M97:M98"/>
    <mergeCell ref="C98:E98"/>
    <mergeCell ref="B89:B90"/>
    <mergeCell ref="C89:E89"/>
    <mergeCell ref="K89:K90"/>
    <mergeCell ref="L89:L90"/>
    <mergeCell ref="M89:M90"/>
    <mergeCell ref="C90:E90"/>
    <mergeCell ref="AP79:AR79"/>
    <mergeCell ref="A85:M85"/>
    <mergeCell ref="A86:B86"/>
    <mergeCell ref="A87:A90"/>
    <mergeCell ref="B87:B88"/>
    <mergeCell ref="C87:E87"/>
    <mergeCell ref="K87:K88"/>
    <mergeCell ref="L87:L88"/>
    <mergeCell ref="M87:M88"/>
    <mergeCell ref="C88:E88"/>
    <mergeCell ref="X79:Z79"/>
    <mergeCell ref="AA79:AC79"/>
    <mergeCell ref="AD79:AF79"/>
    <mergeCell ref="AG79:AI79"/>
    <mergeCell ref="AJ79:AL79"/>
    <mergeCell ref="AM79:AO79"/>
    <mergeCell ref="A78:A79"/>
    <mergeCell ref="L78:N78"/>
    <mergeCell ref="AJ78:AL78"/>
    <mergeCell ref="AM78:AO78"/>
    <mergeCell ref="AP78:AR78"/>
    <mergeCell ref="B79:E79"/>
    <mergeCell ref="F79:H79"/>
    <mergeCell ref="I79:K79"/>
    <mergeCell ref="L79:N79"/>
    <mergeCell ref="O79:Q79"/>
    <mergeCell ref="R79:T79"/>
    <mergeCell ref="U79:W79"/>
    <mergeCell ref="R78:T78"/>
    <mergeCell ref="U78:W78"/>
    <mergeCell ref="X78:Z78"/>
    <mergeCell ref="AA78:AC78"/>
    <mergeCell ref="AD78:AF78"/>
    <mergeCell ref="AG78:AI78"/>
    <mergeCell ref="B78:E78"/>
    <mergeCell ref="F78:H78"/>
    <mergeCell ref="I78:K78"/>
    <mergeCell ref="O78:Q78"/>
    <mergeCell ref="BG69:BG76"/>
    <mergeCell ref="A70:A71"/>
    <mergeCell ref="B70:E70"/>
    <mergeCell ref="AS70:AS71"/>
    <mergeCell ref="AT70:AT71"/>
    <mergeCell ref="AU70:AU71"/>
    <mergeCell ref="AV70:AV71"/>
    <mergeCell ref="AW70:AW71"/>
    <mergeCell ref="AX70:AX71"/>
    <mergeCell ref="AY70:AY71"/>
    <mergeCell ref="BB72:BB73"/>
    <mergeCell ref="BC72:BC73"/>
    <mergeCell ref="BD72:BD73"/>
    <mergeCell ref="BD70:BD71"/>
    <mergeCell ref="B71:E71"/>
    <mergeCell ref="A72:A73"/>
    <mergeCell ref="B72:E72"/>
    <mergeCell ref="AS72:AS73"/>
    <mergeCell ref="AT72:AT73"/>
    <mergeCell ref="AU72:AU73"/>
    <mergeCell ref="AV72:AV73"/>
    <mergeCell ref="AX72:AX73"/>
    <mergeCell ref="BE69:BE76"/>
    <mergeCell ref="BF69:BF76"/>
    <mergeCell ref="BD74:BD75"/>
    <mergeCell ref="AX74:AX75"/>
    <mergeCell ref="AY74:AY75"/>
    <mergeCell ref="AZ74:AZ75"/>
    <mergeCell ref="BA74:BA75"/>
    <mergeCell ref="AV74:AV75"/>
    <mergeCell ref="AW74:AW75"/>
    <mergeCell ref="U68:W68"/>
    <mergeCell ref="X68:Z68"/>
    <mergeCell ref="AA68:AC68"/>
    <mergeCell ref="AD68:AF68"/>
    <mergeCell ref="AG68:AI68"/>
    <mergeCell ref="AZ70:AZ71"/>
    <mergeCell ref="BA70:BA71"/>
    <mergeCell ref="BB70:BB71"/>
    <mergeCell ref="BC70:BC71"/>
    <mergeCell ref="AT74:AT75"/>
    <mergeCell ref="AU74:AU75"/>
    <mergeCell ref="AY72:AY73"/>
    <mergeCell ref="AZ72:AZ73"/>
    <mergeCell ref="BA72:BA73"/>
    <mergeCell ref="BB74:BB75"/>
    <mergeCell ref="BC74:BC75"/>
    <mergeCell ref="A74:A75"/>
    <mergeCell ref="B74:E74"/>
    <mergeCell ref="AS74:AS75"/>
    <mergeCell ref="AW72:AW73"/>
    <mergeCell ref="B73:E73"/>
    <mergeCell ref="A69:E69"/>
    <mergeCell ref="B75:E75"/>
    <mergeCell ref="A53:B53"/>
    <mergeCell ref="A54:A60"/>
    <mergeCell ref="A61:B61"/>
    <mergeCell ref="A63:B63"/>
    <mergeCell ref="A66:BG66"/>
    <mergeCell ref="A67:E67"/>
    <mergeCell ref="F67:N67"/>
    <mergeCell ref="O67:W67"/>
    <mergeCell ref="X67:AF67"/>
    <mergeCell ref="AG67:AI67"/>
    <mergeCell ref="AJ67:AR67"/>
    <mergeCell ref="AS67:AV68"/>
    <mergeCell ref="AW67:AZ68"/>
    <mergeCell ref="BA67:BD68"/>
    <mergeCell ref="BE67:BG67"/>
    <mergeCell ref="A68:E68"/>
    <mergeCell ref="F68:H68"/>
    <mergeCell ref="I68:K68"/>
    <mergeCell ref="L68:N68"/>
    <mergeCell ref="O68:Q68"/>
    <mergeCell ref="AJ68:AL68"/>
    <mergeCell ref="AM68:AO68"/>
    <mergeCell ref="AP68:AR68"/>
    <mergeCell ref="R68:T68"/>
    <mergeCell ref="A39:B39"/>
    <mergeCell ref="A40:A41"/>
    <mergeCell ref="A42:A46"/>
    <mergeCell ref="A47:B47"/>
    <mergeCell ref="A48:A51"/>
    <mergeCell ref="A52:B52"/>
    <mergeCell ref="R36:S36"/>
    <mergeCell ref="T36:U36"/>
    <mergeCell ref="V36:W36"/>
    <mergeCell ref="X36:Y36"/>
    <mergeCell ref="Z36:AA36"/>
    <mergeCell ref="A38:B38"/>
    <mergeCell ref="T35:U35"/>
    <mergeCell ref="V35:W35"/>
    <mergeCell ref="X35:Y35"/>
    <mergeCell ref="Z35:AA35"/>
    <mergeCell ref="C36:E36"/>
    <mergeCell ref="F36:H36"/>
    <mergeCell ref="I36:K36"/>
    <mergeCell ref="L36:M36"/>
    <mergeCell ref="N36:O36"/>
    <mergeCell ref="P36:Q36"/>
    <mergeCell ref="F35:H35"/>
    <mergeCell ref="I35:K35"/>
    <mergeCell ref="L35:M35"/>
    <mergeCell ref="N35:O35"/>
    <mergeCell ref="P35:Q35"/>
    <mergeCell ref="R35:S35"/>
    <mergeCell ref="A21:B21"/>
    <mergeCell ref="A22:A28"/>
    <mergeCell ref="A29:B29"/>
    <mergeCell ref="A31:B31"/>
    <mergeCell ref="A35:B37"/>
    <mergeCell ref="C35:E35"/>
    <mergeCell ref="A7:B7"/>
    <mergeCell ref="A8:A9"/>
    <mergeCell ref="A10:A14"/>
    <mergeCell ref="A15:B15"/>
    <mergeCell ref="A16:A19"/>
    <mergeCell ref="A20:B20"/>
    <mergeCell ref="Z4:AA4"/>
    <mergeCell ref="A6:B6"/>
    <mergeCell ref="T3:U3"/>
    <mergeCell ref="V3:W3"/>
    <mergeCell ref="X3:Y3"/>
    <mergeCell ref="Z3:AA3"/>
    <mergeCell ref="C4:E4"/>
    <mergeCell ref="F4:H4"/>
    <mergeCell ref="I4:K4"/>
    <mergeCell ref="L4:M4"/>
    <mergeCell ref="N4:O4"/>
    <mergeCell ref="P4:Q4"/>
    <mergeCell ref="A1:Y1"/>
    <mergeCell ref="A3:B5"/>
    <mergeCell ref="C3:E3"/>
    <mergeCell ref="F3:H3"/>
    <mergeCell ref="I3:K3"/>
    <mergeCell ref="L3:M3"/>
    <mergeCell ref="N3:O3"/>
    <mergeCell ref="P3:Q3"/>
    <mergeCell ref="R3:S3"/>
    <mergeCell ref="R4:S4"/>
    <mergeCell ref="T4:U4"/>
    <mergeCell ref="V4:W4"/>
    <mergeCell ref="X4:Y4"/>
  </mergeCells>
  <pageMargins left="0.70866141732283472" right="0.70866141732283472" top="0.74803149606299213" bottom="0.74803149606299213" header="0.31496062992125984" footer="0.31496062992125984"/>
  <pageSetup paperSize="8" scale="4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3FA61-929E-41C0-888E-51E5CFB862CF}">
  <dimension ref="A1"/>
  <sheetViews>
    <sheetView workbookViewId="0">
      <selection activeCell="P16" sqref="P16"/>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31"/>
  <sheetViews>
    <sheetView topLeftCell="A19" workbookViewId="0">
      <selection activeCell="F25" sqref="F25"/>
    </sheetView>
  </sheetViews>
  <sheetFormatPr defaultRowHeight="15" x14ac:dyDescent="0.25"/>
  <cols>
    <col min="3" max="3" width="11.28515625" customWidth="1"/>
    <col min="4" max="4" width="11" customWidth="1"/>
    <col min="5" max="5" width="11.85546875" customWidth="1"/>
    <col min="6" max="6" width="45.140625" customWidth="1"/>
  </cols>
  <sheetData>
    <row r="1" spans="2:10" ht="15.75" thickBot="1" x14ac:dyDescent="0.3"/>
    <row r="2" spans="2:10" ht="15.75" thickTop="1" x14ac:dyDescent="0.25">
      <c r="B2" s="143"/>
      <c r="C2" s="144"/>
      <c r="D2" s="144"/>
      <c r="E2" s="144"/>
      <c r="F2" s="144"/>
      <c r="G2" s="145"/>
    </row>
    <row r="3" spans="2:10" ht="18.75" x14ac:dyDescent="0.3">
      <c r="B3" s="161"/>
      <c r="C3" s="165" t="s">
        <v>39</v>
      </c>
      <c r="G3" s="162"/>
      <c r="J3" s="2"/>
    </row>
    <row r="4" spans="2:10" x14ac:dyDescent="0.25">
      <c r="B4" s="161"/>
      <c r="G4" s="162"/>
    </row>
    <row r="5" spans="2:10" ht="73.5" customHeight="1" x14ac:dyDescent="0.25">
      <c r="B5" s="161"/>
      <c r="C5" s="656" t="s">
        <v>40</v>
      </c>
      <c r="D5" s="656"/>
      <c r="E5" s="656"/>
      <c r="F5" s="656"/>
      <c r="G5" s="163"/>
      <c r="J5" s="138" t="s">
        <v>41</v>
      </c>
    </row>
    <row r="6" spans="2:10" x14ac:dyDescent="0.25">
      <c r="B6" s="161"/>
      <c r="G6" s="162"/>
    </row>
    <row r="7" spans="2:10" ht="15.75" x14ac:dyDescent="0.25">
      <c r="B7" s="161"/>
      <c r="C7" s="658" t="s">
        <v>42</v>
      </c>
      <c r="D7" s="658"/>
      <c r="E7" s="658"/>
      <c r="F7" s="658"/>
      <c r="G7" s="162"/>
    </row>
    <row r="8" spans="2:10" ht="24.75" customHeight="1" x14ac:dyDescent="0.25">
      <c r="B8" s="161"/>
      <c r="C8" s="654" t="s">
        <v>43</v>
      </c>
      <c r="D8" s="654" t="s">
        <v>44</v>
      </c>
      <c r="E8" s="654" t="s">
        <v>45</v>
      </c>
      <c r="F8" s="657" t="s">
        <v>46</v>
      </c>
      <c r="G8" s="162"/>
    </row>
    <row r="9" spans="2:10" ht="36.75" customHeight="1" x14ac:dyDescent="0.25">
      <c r="B9" s="161"/>
      <c r="C9" s="655"/>
      <c r="D9" s="655"/>
      <c r="E9" s="655"/>
      <c r="F9" s="655"/>
      <c r="G9" s="162"/>
    </row>
    <row r="10" spans="2:10" ht="15.75" x14ac:dyDescent="0.25">
      <c r="B10" s="161"/>
      <c r="C10" s="139" t="s">
        <v>47</v>
      </c>
      <c r="D10" s="579">
        <f>IFERROR('Prog. Report ERC - Resid Quals'!E27,0)</f>
        <v>2</v>
      </c>
      <c r="E10" s="579">
        <f>IFERROR('Prog. Report ERC - Resid Quals'!H27,0)</f>
        <v>2</v>
      </c>
      <c r="F10" s="615"/>
      <c r="G10" s="162"/>
    </row>
    <row r="11" spans="2:10" ht="29.25" customHeight="1" x14ac:dyDescent="0.25">
      <c r="B11" s="161"/>
      <c r="C11" s="139" t="s">
        <v>48</v>
      </c>
      <c r="D11" s="579">
        <f>IFERROR('Prog. Report ERC - Resid Quals'!D28,0)</f>
        <v>0</v>
      </c>
      <c r="E11" s="578">
        <f>IFERROR('Prog. Report ERC - Resid Quals'!G28,0)</f>
        <v>0</v>
      </c>
      <c r="F11" s="573"/>
      <c r="G11" s="162"/>
    </row>
    <row r="12" spans="2:10" ht="29.25" customHeight="1" x14ac:dyDescent="0.25">
      <c r="B12" s="161"/>
      <c r="C12" s="139" t="s">
        <v>49</v>
      </c>
      <c r="D12" s="579">
        <f>IFERROR('Prog. Report ERC - Resid Quals'!C28,0)</f>
        <v>0</v>
      </c>
      <c r="E12" s="578">
        <f>IFERROR('Prog. Report ERC - Resid Quals'!F28,0)</f>
        <v>0</v>
      </c>
      <c r="F12" s="573"/>
      <c r="G12" s="162"/>
    </row>
    <row r="13" spans="2:10" ht="30.75" customHeight="1" x14ac:dyDescent="0.25">
      <c r="B13" s="161"/>
      <c r="C13" s="139" t="s">
        <v>50</v>
      </c>
      <c r="D13" s="579">
        <f>IFERROR('Prog. Report ERC - Resid Quals'!E30,0)</f>
        <v>0</v>
      </c>
      <c r="E13" s="578">
        <f>IFERROR('Prog. Report ERC - Resid Quals'!H30,0)</f>
        <v>0</v>
      </c>
      <c r="F13" s="573"/>
      <c r="G13" s="162"/>
    </row>
    <row r="14" spans="2:10" ht="30" customHeight="1" x14ac:dyDescent="0.25">
      <c r="B14" s="161"/>
      <c r="C14" s="139" t="s">
        <v>51</v>
      </c>
      <c r="D14" s="579">
        <f>IFERROR('Prog. Report ERC - Resid Quals'!E34,0)</f>
        <v>0</v>
      </c>
      <c r="E14" s="578">
        <f>IFERROR('Prog. Report ERC - Resid Quals'!H34,0)</f>
        <v>0</v>
      </c>
      <c r="F14" s="573"/>
      <c r="G14" s="162"/>
    </row>
    <row r="15" spans="2:10" ht="30" customHeight="1" x14ac:dyDescent="0.25">
      <c r="B15" s="161"/>
      <c r="C15" s="139" t="s">
        <v>52</v>
      </c>
      <c r="D15" s="579">
        <f>IFERROR('Prog. Report ERC - Resid Quals'!E35,0)</f>
        <v>0</v>
      </c>
      <c r="E15" s="579">
        <f>IFERROR('Prog. Report ERC - Resid Quals'!H35,0)</f>
        <v>0</v>
      </c>
      <c r="F15" s="573"/>
      <c r="G15" s="162"/>
    </row>
    <row r="16" spans="2:10" ht="30" customHeight="1" x14ac:dyDescent="0.25">
      <c r="B16" s="161"/>
      <c r="C16" s="139" t="s">
        <v>53</v>
      </c>
      <c r="D16" s="580">
        <f>IFERROR('Prog. Report ERC - Resid Quals'!I70,0)</f>
        <v>0</v>
      </c>
      <c r="E16" s="580">
        <f>IFERROR('Prog. Report ERC - Resid Quals'!J70,0)</f>
        <v>0</v>
      </c>
      <c r="F16" s="573"/>
      <c r="G16" s="162"/>
    </row>
    <row r="17" spans="2:7" x14ac:dyDescent="0.25">
      <c r="B17" s="161"/>
      <c r="D17" s="30"/>
      <c r="E17" s="30"/>
      <c r="G17" s="162"/>
    </row>
    <row r="18" spans="2:7" ht="15.75" x14ac:dyDescent="0.25">
      <c r="B18" s="161"/>
      <c r="C18" s="658" t="s">
        <v>54</v>
      </c>
      <c r="D18" s="658"/>
      <c r="E18" s="658"/>
      <c r="F18" s="658"/>
      <c r="G18" s="162"/>
    </row>
    <row r="19" spans="2:7" ht="15" customHeight="1" x14ac:dyDescent="0.25">
      <c r="B19" s="161"/>
      <c r="C19" s="654" t="s">
        <v>43</v>
      </c>
      <c r="D19" s="654" t="s">
        <v>44</v>
      </c>
      <c r="E19" s="654" t="s">
        <v>45</v>
      </c>
      <c r="F19" s="657" t="s">
        <v>46</v>
      </c>
      <c r="G19" s="162"/>
    </row>
    <row r="20" spans="2:7" ht="43.5" customHeight="1" x14ac:dyDescent="0.25">
      <c r="B20" s="161"/>
      <c r="C20" s="655"/>
      <c r="D20" s="655"/>
      <c r="E20" s="655"/>
      <c r="F20" s="655"/>
      <c r="G20" s="162"/>
    </row>
    <row r="21" spans="2:7" ht="15.75" x14ac:dyDescent="0.25">
      <c r="B21" s="161"/>
      <c r="C21" s="139" t="s">
        <v>47</v>
      </c>
      <c r="D21" s="591">
        <f>IFERROR('Prog. Report ERC - Resid Quals'!E56,0)</f>
        <v>8</v>
      </c>
      <c r="E21" s="591">
        <f>IFERROR('Prog. Report ERC - Resid Quals'!H56,0)</f>
        <v>8</v>
      </c>
      <c r="F21" s="616"/>
      <c r="G21" s="162"/>
    </row>
    <row r="22" spans="2:7" ht="29.25" customHeight="1" x14ac:dyDescent="0.25">
      <c r="B22" s="161"/>
      <c r="C22" s="139" t="s">
        <v>48</v>
      </c>
      <c r="D22" s="591">
        <f>IFERROR('Prog. Report ERC - Resid Quals'!D57,0)</f>
        <v>0</v>
      </c>
      <c r="E22" s="588">
        <f>IFERROR('Prog. Report ERC - Resid Quals'!G57,0)</f>
        <v>0</v>
      </c>
      <c r="F22" s="598"/>
      <c r="G22" s="162"/>
    </row>
    <row r="23" spans="2:7" ht="30" customHeight="1" x14ac:dyDescent="0.25">
      <c r="B23" s="161"/>
      <c r="C23" s="139" t="s">
        <v>49</v>
      </c>
      <c r="D23" s="591">
        <f>IFERROR('Prog. Report ERC - Resid Quals'!C57,0)</f>
        <v>0</v>
      </c>
      <c r="E23" s="588">
        <f>IFERROR('Prog. Report ERC - Resid Quals'!F57,0)</f>
        <v>0</v>
      </c>
      <c r="F23" s="598"/>
      <c r="G23" s="162"/>
    </row>
    <row r="24" spans="2:7" ht="29.25" customHeight="1" x14ac:dyDescent="0.25">
      <c r="B24" s="161"/>
      <c r="C24" s="139" t="s">
        <v>50</v>
      </c>
      <c r="D24" s="591">
        <f>IFERROR('Prog. Report ERC - Resid Quals'!E59,0)</f>
        <v>0</v>
      </c>
      <c r="E24" s="591">
        <f>IFERROR('Prog. Report ERC - Resid Quals'!H59,0)</f>
        <v>0</v>
      </c>
      <c r="F24" s="598"/>
      <c r="G24" s="162"/>
    </row>
    <row r="25" spans="2:7" ht="15.75" x14ac:dyDescent="0.25">
      <c r="B25" s="161"/>
      <c r="C25" s="139" t="s">
        <v>51</v>
      </c>
      <c r="D25" s="591">
        <f>IFERROR('Prog. Report ERC - Resid Quals'!E63,0)</f>
        <v>22</v>
      </c>
      <c r="E25" s="591">
        <f>IFERROR('Prog. Report ERC - Resid Quals'!H63,0)</f>
        <v>22</v>
      </c>
      <c r="F25" s="616"/>
      <c r="G25" s="162"/>
    </row>
    <row r="26" spans="2:7" ht="29.25" customHeight="1" x14ac:dyDescent="0.25">
      <c r="B26" s="161"/>
      <c r="C26" s="139" t="s">
        <v>52</v>
      </c>
      <c r="D26" s="591">
        <f>IFERROR('Prog. Report ERC - Resid Quals'!E64,0)</f>
        <v>0</v>
      </c>
      <c r="E26" s="591">
        <f>IFERROR('Prog. Report ERC - Resid Quals'!H64,0)</f>
        <v>0</v>
      </c>
      <c r="F26" s="598"/>
      <c r="G26" s="162"/>
    </row>
    <row r="27" spans="2:7" ht="30" customHeight="1" x14ac:dyDescent="0.25">
      <c r="B27" s="161"/>
      <c r="C27" s="139" t="s">
        <v>53</v>
      </c>
      <c r="D27" s="592">
        <f>IFERROR('Prog. Report ERC - Resid Quals'!I72,0)</f>
        <v>0</v>
      </c>
      <c r="E27" s="592">
        <f>IFERROR('Prog. Report ERC - Resid Quals'!J72,0)</f>
        <v>0</v>
      </c>
      <c r="F27" s="598"/>
      <c r="G27" s="162"/>
    </row>
    <row r="28" spans="2:7" x14ac:dyDescent="0.25">
      <c r="B28" s="161"/>
      <c r="G28" s="162"/>
    </row>
    <row r="29" spans="2:7" x14ac:dyDescent="0.25">
      <c r="B29" s="161"/>
      <c r="C29" s="1" t="s">
        <v>55</v>
      </c>
      <c r="G29" s="162"/>
    </row>
    <row r="30" spans="2:7" ht="15.75" thickBot="1" x14ac:dyDescent="0.3">
      <c r="B30" s="158"/>
      <c r="C30" s="159"/>
      <c r="D30" s="159"/>
      <c r="E30" s="159"/>
      <c r="F30" s="159"/>
      <c r="G30" s="160"/>
    </row>
    <row r="31" spans="2:7" ht="15.75" thickTop="1" x14ac:dyDescent="0.25"/>
  </sheetData>
  <sheetProtection algorithmName="SHA-512" hashValue="arkS+l15vKlfsRQDDMplmAISTT8il/RmjrXpTk8taWw9JSX8Oo8YB3uvraMrBQ08jjtQ/gPlFVJGpwBhwUsXiw==" saltValue="dGZjNPKus/sVLPAF594McQ==" spinCount="100000" sheet="1" formatCells="0" formatColumns="0" formatRows="0" selectLockedCells="1"/>
  <mergeCells count="11">
    <mergeCell ref="C8:C9"/>
    <mergeCell ref="C5:F5"/>
    <mergeCell ref="C19:C20"/>
    <mergeCell ref="D19:D20"/>
    <mergeCell ref="E19:E20"/>
    <mergeCell ref="F19:F20"/>
    <mergeCell ref="F8:F9"/>
    <mergeCell ref="E8:E9"/>
    <mergeCell ref="D8:D9"/>
    <mergeCell ref="C18:F18"/>
    <mergeCell ref="C7:F7"/>
  </mergeCells>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27"/>
  <sheetViews>
    <sheetView topLeftCell="C7" workbookViewId="0">
      <selection activeCell="H19" sqref="H19"/>
    </sheetView>
  </sheetViews>
  <sheetFormatPr defaultRowHeight="15" x14ac:dyDescent="0.25"/>
  <cols>
    <col min="3" max="3" width="21.42578125" customWidth="1"/>
    <col min="4" max="4" width="11.140625" customWidth="1"/>
    <col min="5" max="5" width="11.5703125" customWidth="1"/>
    <col min="6" max="6" width="9" customWidth="1"/>
    <col min="7" max="7" width="10.7109375" customWidth="1"/>
    <col min="8" max="8" width="53.140625" customWidth="1"/>
    <col min="9" max="9" width="8.140625" customWidth="1"/>
    <col min="10" max="10" width="12.140625" customWidth="1"/>
    <col min="11" max="11" width="12.42578125" customWidth="1"/>
    <col min="12" max="12" width="46" customWidth="1"/>
  </cols>
  <sheetData>
    <row r="1" spans="2:15" ht="15.75" thickBot="1" x14ac:dyDescent="0.3"/>
    <row r="2" spans="2:15" ht="15.75" thickTop="1" x14ac:dyDescent="0.25">
      <c r="B2" s="143"/>
      <c r="C2" s="144"/>
      <c r="D2" s="144"/>
      <c r="E2" s="144"/>
      <c r="F2" s="144"/>
      <c r="G2" s="144"/>
      <c r="H2" s="144"/>
      <c r="I2" s="145"/>
    </row>
    <row r="3" spans="2:15" ht="18.75" x14ac:dyDescent="0.3">
      <c r="B3" s="161"/>
      <c r="C3" s="165" t="s">
        <v>56</v>
      </c>
      <c r="D3" s="2"/>
      <c r="E3" s="2"/>
      <c r="F3" s="2"/>
      <c r="I3" s="162"/>
    </row>
    <row r="4" spans="2:15" x14ac:dyDescent="0.25">
      <c r="B4" s="161"/>
      <c r="I4" s="162"/>
    </row>
    <row r="5" spans="2:15" ht="56.25" customHeight="1" x14ac:dyDescent="0.25">
      <c r="B5" s="161"/>
      <c r="C5" s="656" t="s">
        <v>57</v>
      </c>
      <c r="D5" s="656"/>
      <c r="E5" s="656"/>
      <c r="F5" s="656"/>
      <c r="G5" s="656"/>
      <c r="H5" s="656"/>
      <c r="I5" s="163"/>
      <c r="J5" s="164"/>
      <c r="K5" s="164"/>
      <c r="L5" s="164"/>
      <c r="M5" s="164"/>
      <c r="N5" s="164"/>
      <c r="O5" s="164"/>
    </row>
    <row r="6" spans="2:15" x14ac:dyDescent="0.25">
      <c r="B6" s="161"/>
      <c r="I6" s="162"/>
    </row>
    <row r="7" spans="2:15" ht="15" customHeight="1" thickBot="1" x14ac:dyDescent="0.35">
      <c r="B7" s="161"/>
      <c r="C7" s="659" t="s">
        <v>58</v>
      </c>
      <c r="D7" s="660"/>
      <c r="E7" s="660"/>
      <c r="F7" s="660"/>
      <c r="G7" s="660"/>
      <c r="H7" s="659"/>
      <c r="I7" s="170"/>
      <c r="J7" s="166"/>
      <c r="K7" s="166"/>
    </row>
    <row r="8" spans="2:15" ht="15.75" thickTop="1" x14ac:dyDescent="0.25">
      <c r="B8" s="161"/>
      <c r="C8" s="663" t="s">
        <v>43</v>
      </c>
      <c r="D8" s="665" t="s">
        <v>59</v>
      </c>
      <c r="E8" s="666"/>
      <c r="F8" s="667" t="s">
        <v>60</v>
      </c>
      <c r="G8" s="668"/>
      <c r="H8" s="669" t="s">
        <v>61</v>
      </c>
      <c r="I8" s="171"/>
      <c r="J8" s="168"/>
      <c r="K8" s="168"/>
      <c r="L8" s="167"/>
    </row>
    <row r="9" spans="2:15" ht="30" x14ac:dyDescent="0.25">
      <c r="B9" s="161"/>
      <c r="C9" s="664"/>
      <c r="D9" s="317" t="s">
        <v>62</v>
      </c>
      <c r="E9" s="319" t="s">
        <v>63</v>
      </c>
      <c r="F9" s="317" t="s">
        <v>62</v>
      </c>
      <c r="G9" s="319" t="s">
        <v>64</v>
      </c>
      <c r="H9" s="670"/>
      <c r="I9" s="162"/>
      <c r="K9" s="169"/>
    </row>
    <row r="10" spans="2:15" x14ac:dyDescent="0.25">
      <c r="B10" s="161"/>
      <c r="C10" s="177" t="s">
        <v>65</v>
      </c>
      <c r="D10" s="585">
        <f>'Prog. Report ERC - 21-22 Quals'!D27</f>
        <v>2791</v>
      </c>
      <c r="E10" s="586">
        <f>'Prog. Report ERC - 21-22 Quals'!D59</f>
        <v>2791</v>
      </c>
      <c r="F10" s="587">
        <f>'Prog. Report ERC - 21-22 Quals'!G27</f>
        <v>2864</v>
      </c>
      <c r="G10" s="586">
        <f>'Prog. Report ERC - 21-22 Quals'!G59</f>
        <v>2799</v>
      </c>
      <c r="H10" s="612"/>
      <c r="I10" s="162"/>
    </row>
    <row r="11" spans="2:15" x14ac:dyDescent="0.25">
      <c r="B11" s="161"/>
      <c r="C11" s="177" t="s">
        <v>66</v>
      </c>
      <c r="D11" s="585">
        <f>'Prog. Report ERC - 21-22 Quals'!C27</f>
        <v>11811</v>
      </c>
      <c r="E11" s="586">
        <f>'Prog. Report ERC - 21-22 Quals'!C59</f>
        <v>4564</v>
      </c>
      <c r="F11" s="587">
        <f>'Prog. Report ERC - 21-22 Quals'!F27</f>
        <v>12665</v>
      </c>
      <c r="G11" s="586">
        <f>'Prog. Report ERC - 21-22 Quals'!F59</f>
        <v>4795</v>
      </c>
      <c r="H11" s="612"/>
      <c r="I11" s="162"/>
    </row>
    <row r="12" spans="2:15" ht="105" x14ac:dyDescent="0.25">
      <c r="B12" s="161"/>
      <c r="C12" s="177" t="s">
        <v>48</v>
      </c>
      <c r="D12" s="585">
        <f>'Prog. Report ERC - 21-22 Quals'!D28</f>
        <v>1487</v>
      </c>
      <c r="E12" s="586">
        <f>'Prog. Report ERC - 21-22 Quals'!D60</f>
        <v>1487</v>
      </c>
      <c r="F12" s="587">
        <f>'Prog. Report ERC - 21-22 Quals'!G28</f>
        <v>1092</v>
      </c>
      <c r="G12" s="586">
        <f>'Prog. Report ERC - 21-22 Quals'!G60</f>
        <v>1087</v>
      </c>
      <c r="H12" s="617" t="s">
        <v>340</v>
      </c>
      <c r="I12" s="162"/>
    </row>
    <row r="13" spans="2:15" x14ac:dyDescent="0.25">
      <c r="B13" s="161"/>
      <c r="C13" s="177" t="s">
        <v>49</v>
      </c>
      <c r="D13" s="585">
        <f>'Prog. Report ERC - 21-22 Quals'!C28</f>
        <v>1096</v>
      </c>
      <c r="E13" s="586">
        <f>'Prog. Report ERC - 21-22 Quals'!C60</f>
        <v>953</v>
      </c>
      <c r="F13" s="587">
        <f>'Prog. Report ERC - 21-22 Quals'!F28</f>
        <v>1198</v>
      </c>
      <c r="G13" s="586">
        <f>'Prog. Report ERC - 21-22 Quals'!F60</f>
        <v>1038</v>
      </c>
      <c r="H13" s="612"/>
      <c r="I13" s="162"/>
    </row>
    <row r="14" spans="2:15" x14ac:dyDescent="0.25">
      <c r="B14" s="161"/>
      <c r="C14" s="177" t="s">
        <v>50</v>
      </c>
      <c r="D14" s="585">
        <f>'Prog. Report ERC - 21-22 Quals'!E30</f>
        <v>32</v>
      </c>
      <c r="E14" s="589">
        <f>'Prog. Report ERC - 21-22 Quals'!E62</f>
        <v>32</v>
      </c>
      <c r="F14" s="585">
        <f>'Prog. Report ERC - 21-22 Quals'!H30</f>
        <v>36</v>
      </c>
      <c r="G14" s="586">
        <f>'Prog. Report ERC - 21-22 Quals'!H62</f>
        <v>36</v>
      </c>
      <c r="H14" s="612"/>
      <c r="I14" s="162"/>
    </row>
    <row r="15" spans="2:15" ht="30" x14ac:dyDescent="0.25">
      <c r="B15" s="161"/>
      <c r="C15" s="177" t="s">
        <v>67</v>
      </c>
      <c r="D15" s="585">
        <f>'Prog. Report ERC - 21-22 Quals'!E31</f>
        <v>100</v>
      </c>
      <c r="E15" s="589">
        <f>'Prog. Report ERC - 21-22 Quals'!E63</f>
        <v>100</v>
      </c>
      <c r="F15" s="585">
        <f>'Prog. Report ERC - 21-22 Quals'!H31</f>
        <v>0</v>
      </c>
      <c r="G15" s="586">
        <f>'Prog. Report ERC - 21-22 Quals'!H63</f>
        <v>0</v>
      </c>
      <c r="H15" s="614" t="s">
        <v>332</v>
      </c>
      <c r="I15" s="162"/>
    </row>
    <row r="16" spans="2:15" x14ac:dyDescent="0.25">
      <c r="B16" s="161"/>
      <c r="C16" s="177" t="s">
        <v>68</v>
      </c>
      <c r="D16" s="585">
        <f>'Prog. Report ERC - 21-22 Quals'!E32</f>
        <v>134</v>
      </c>
      <c r="E16" s="589">
        <f>'Prog. Report ERC - 21-22 Quals'!E64</f>
        <v>134</v>
      </c>
      <c r="F16" s="585">
        <f>'Prog. Report ERC - 21-22 Quals'!H32</f>
        <v>145</v>
      </c>
      <c r="G16" s="586">
        <f>'Prog. Report ERC - 21-22 Quals'!H64</f>
        <v>104</v>
      </c>
      <c r="H16" s="612"/>
      <c r="I16" s="162"/>
    </row>
    <row r="17" spans="2:12" ht="30" x14ac:dyDescent="0.25">
      <c r="B17" s="161"/>
      <c r="C17" s="177" t="s">
        <v>51</v>
      </c>
      <c r="D17" s="585">
        <f>'Prog. Report ERC - 21-22 Quals'!E34</f>
        <v>968</v>
      </c>
      <c r="E17" s="589">
        <f>'Prog. Report ERC - 21-22 Quals'!E66</f>
        <v>968</v>
      </c>
      <c r="F17" s="585">
        <f>'Prog. Report ERC - 21-22 Quals'!H34</f>
        <v>953</v>
      </c>
      <c r="G17" s="586">
        <f>'Prog. Report ERC - 21-22 Quals'!H66</f>
        <v>841</v>
      </c>
      <c r="H17" s="614" t="s">
        <v>335</v>
      </c>
      <c r="I17" s="162"/>
    </row>
    <row r="18" spans="2:12" ht="135" x14ac:dyDescent="0.25">
      <c r="B18" s="161"/>
      <c r="C18" s="176" t="s">
        <v>69</v>
      </c>
      <c r="D18" s="673">
        <v>0.82</v>
      </c>
      <c r="E18" s="674"/>
      <c r="F18" s="675"/>
      <c r="G18" s="676"/>
      <c r="H18" s="613" t="s">
        <v>336</v>
      </c>
      <c r="I18" s="162"/>
    </row>
    <row r="19" spans="2:12" ht="75" x14ac:dyDescent="0.25">
      <c r="B19" s="161"/>
      <c r="C19" s="177" t="s">
        <v>52</v>
      </c>
      <c r="D19" s="585">
        <f>'Prog. Report ERC - 21-22 Quals'!E35</f>
        <v>229</v>
      </c>
      <c r="E19" s="589">
        <f>'Prog. Report ERC - 21-22 Quals'!E67</f>
        <v>229</v>
      </c>
      <c r="F19" s="585">
        <f>'Prog. Report ERC - 21-22 Quals'!H35</f>
        <v>218</v>
      </c>
      <c r="G19" s="586">
        <f>'Prog. Report ERC - 21-22 Quals'!H67</f>
        <v>206</v>
      </c>
      <c r="H19" s="614" t="s">
        <v>341</v>
      </c>
      <c r="I19" s="162"/>
    </row>
    <row r="20" spans="2:12" x14ac:dyDescent="0.25">
      <c r="B20" s="161"/>
      <c r="C20" s="177" t="s">
        <v>53</v>
      </c>
      <c r="D20" s="590">
        <f>'Prog. Report ERC - 21-22 Quals'!AV83</f>
        <v>2100</v>
      </c>
      <c r="E20" s="586">
        <f>'Prog. Report ERC - 21-22 Quals'!BE76</f>
        <v>1500</v>
      </c>
      <c r="F20" s="590">
        <f>'Prog. Report ERC - 21-22 Quals'!AZ83</f>
        <v>2212</v>
      </c>
      <c r="G20" s="586">
        <f>'Prog. Report ERC - 21-22 Quals'!BF76</f>
        <v>1571</v>
      </c>
      <c r="H20" s="612"/>
      <c r="I20" s="162"/>
    </row>
    <row r="21" spans="2:12" x14ac:dyDescent="0.25">
      <c r="B21" s="161"/>
      <c r="C21" s="177" t="s">
        <v>70</v>
      </c>
      <c r="D21" s="587">
        <f>'Prog. Report ERC - PSSA'!R11</f>
        <v>9627</v>
      </c>
      <c r="E21" s="586">
        <f>'Prog. Report ERC - PSSA'!R24</f>
        <v>5801</v>
      </c>
      <c r="F21" s="587">
        <f>'Prog. Report ERC - PSSA'!T11</f>
        <v>10815</v>
      </c>
      <c r="G21" s="586">
        <f>'Prog. Report ERC - PSSA'!T24</f>
        <v>6858</v>
      </c>
      <c r="H21" s="671"/>
      <c r="I21" s="162"/>
      <c r="L21" s="166"/>
    </row>
    <row r="22" spans="2:12" ht="45.75" thickBot="1" x14ac:dyDescent="0.3">
      <c r="B22" s="161"/>
      <c r="C22" s="176" t="s">
        <v>71</v>
      </c>
      <c r="D22" s="661">
        <v>4750</v>
      </c>
      <c r="E22" s="662"/>
      <c r="F22" s="677">
        <v>6476</v>
      </c>
      <c r="G22" s="678"/>
      <c r="H22" s="672"/>
      <c r="I22" s="162"/>
      <c r="L22" s="166"/>
    </row>
    <row r="23" spans="2:12" ht="15.75" thickTop="1" x14ac:dyDescent="0.25">
      <c r="B23" s="161"/>
      <c r="I23" s="162"/>
    </row>
    <row r="24" spans="2:12" x14ac:dyDescent="0.25">
      <c r="B24" s="161"/>
      <c r="C24" s="1" t="s">
        <v>72</v>
      </c>
      <c r="D24" s="1"/>
      <c r="E24" s="1"/>
      <c r="F24" s="1"/>
      <c r="I24" s="162"/>
    </row>
    <row r="25" spans="2:12" x14ac:dyDescent="0.25">
      <c r="B25" s="161"/>
      <c r="C25" s="1"/>
      <c r="D25" s="1"/>
      <c r="E25" s="1"/>
      <c r="F25" s="1"/>
      <c r="I25" s="162"/>
    </row>
    <row r="26" spans="2:12" ht="15.75" thickBot="1" x14ac:dyDescent="0.3">
      <c r="B26" s="158"/>
      <c r="C26" s="172"/>
      <c r="D26" s="159"/>
      <c r="E26" s="159"/>
      <c r="F26" s="159"/>
      <c r="G26" s="159"/>
      <c r="H26" s="159"/>
      <c r="I26" s="160"/>
    </row>
    <row r="27" spans="2:12" ht="15.75" thickTop="1" x14ac:dyDescent="0.25"/>
  </sheetData>
  <sheetProtection algorithmName="SHA-512" hashValue="7/C2yfrqT17orv+bZw4qF6Qa7rdvXsih5fw4fJW8IsSNCJjrIoLceiPzNLIdKDCK7QVU3Jw9Dkm5lxcE9vET7A==" saltValue="CZ/woI1Kqk5uahkMhMAjtw==" spinCount="100000" sheet="1" formatCells="0" formatColumns="0" formatRows="0" selectLockedCells="1"/>
  <protectedRanges>
    <protectedRange sqref="D9:D17 D19:D21" name="Range1"/>
    <protectedRange sqref="D18" name="Range1_1"/>
  </protectedRanges>
  <mergeCells count="11">
    <mergeCell ref="C5:H5"/>
    <mergeCell ref="C7:H7"/>
    <mergeCell ref="D22:E22"/>
    <mergeCell ref="C8:C9"/>
    <mergeCell ref="D8:E8"/>
    <mergeCell ref="F8:G8"/>
    <mergeCell ref="H8:H9"/>
    <mergeCell ref="H21:H22"/>
    <mergeCell ref="D18:E18"/>
    <mergeCell ref="F18:G18"/>
    <mergeCell ref="F22:G22"/>
  </mergeCells>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15"/>
  <sheetViews>
    <sheetView workbookViewId="0">
      <selection activeCell="H12" sqref="H12"/>
    </sheetView>
  </sheetViews>
  <sheetFormatPr defaultRowHeight="15" x14ac:dyDescent="0.25"/>
  <cols>
    <col min="3" max="3" width="19.140625" customWidth="1"/>
    <col min="4" max="4" width="10" customWidth="1"/>
    <col min="5" max="5" width="10.7109375" bestFit="1" customWidth="1"/>
    <col min="6" max="6" width="11" customWidth="1"/>
    <col min="7" max="7" width="11.42578125" customWidth="1"/>
    <col min="8" max="8" width="37" customWidth="1"/>
  </cols>
  <sheetData>
    <row r="1" spans="2:9" ht="15.75" thickBot="1" x14ac:dyDescent="0.3"/>
    <row r="2" spans="2:9" ht="15.75" thickTop="1" x14ac:dyDescent="0.25">
      <c r="B2" s="143"/>
      <c r="C2" s="144"/>
      <c r="D2" s="144"/>
      <c r="E2" s="144"/>
      <c r="F2" s="144"/>
      <c r="G2" s="144"/>
      <c r="H2" s="144"/>
      <c r="I2" s="145"/>
    </row>
    <row r="3" spans="2:9" ht="18.75" x14ac:dyDescent="0.3">
      <c r="B3" s="161"/>
      <c r="C3" s="165" t="s">
        <v>73</v>
      </c>
      <c r="D3" s="2"/>
      <c r="I3" s="162"/>
    </row>
    <row r="4" spans="2:9" x14ac:dyDescent="0.25">
      <c r="B4" s="161"/>
      <c r="I4" s="162"/>
    </row>
    <row r="5" spans="2:9" ht="75" customHeight="1" x14ac:dyDescent="0.25">
      <c r="B5" s="161"/>
      <c r="C5" s="679" t="s">
        <v>74</v>
      </c>
      <c r="D5" s="679"/>
      <c r="E5" s="679"/>
      <c r="F5" s="679"/>
      <c r="G5" s="679"/>
      <c r="H5" s="679"/>
      <c r="I5" s="163"/>
    </row>
    <row r="6" spans="2:9" x14ac:dyDescent="0.25">
      <c r="B6" s="161"/>
      <c r="I6" s="162"/>
    </row>
    <row r="7" spans="2:9" ht="19.5" thickBot="1" x14ac:dyDescent="0.35">
      <c r="B7" s="161"/>
      <c r="C7" s="173" t="s">
        <v>75</v>
      </c>
      <c r="D7" s="174"/>
      <c r="H7" s="175"/>
      <c r="I7" s="162"/>
    </row>
    <row r="8" spans="2:9" ht="15.75" thickTop="1" x14ac:dyDescent="0.25">
      <c r="B8" s="161"/>
      <c r="C8" s="663" t="s">
        <v>43</v>
      </c>
      <c r="D8" s="665" t="s">
        <v>59</v>
      </c>
      <c r="E8" s="680"/>
      <c r="F8" s="667" t="s">
        <v>60</v>
      </c>
      <c r="G8" s="668"/>
      <c r="H8" s="669" t="s">
        <v>61</v>
      </c>
      <c r="I8" s="162"/>
    </row>
    <row r="9" spans="2:9" ht="30" x14ac:dyDescent="0.25">
      <c r="B9" s="161"/>
      <c r="C9" s="664"/>
      <c r="D9" s="317" t="s">
        <v>62</v>
      </c>
      <c r="E9" s="318" t="s">
        <v>63</v>
      </c>
      <c r="F9" s="317" t="s">
        <v>76</v>
      </c>
      <c r="G9" s="319" t="s">
        <v>64</v>
      </c>
      <c r="H9" s="670"/>
      <c r="I9" s="162"/>
    </row>
    <row r="10" spans="2:9" ht="120" x14ac:dyDescent="0.25">
      <c r="B10" s="161"/>
      <c r="C10" s="176" t="s">
        <v>77</v>
      </c>
      <c r="D10" s="593">
        <v>347</v>
      </c>
      <c r="E10" s="594">
        <v>347</v>
      </c>
      <c r="F10" s="630">
        <v>359</v>
      </c>
      <c r="G10" s="630">
        <v>272</v>
      </c>
      <c r="H10" s="612" t="s">
        <v>344</v>
      </c>
      <c r="I10" s="162"/>
    </row>
    <row r="11" spans="2:9" ht="105.75" thickBot="1" x14ac:dyDescent="0.3">
      <c r="B11" s="161"/>
      <c r="C11" s="176" t="s">
        <v>78</v>
      </c>
      <c r="D11" s="595">
        <v>90</v>
      </c>
      <c r="E11" s="596">
        <v>90</v>
      </c>
      <c r="F11" s="628">
        <v>207</v>
      </c>
      <c r="G11" s="628">
        <v>150</v>
      </c>
      <c r="H11" s="612" t="s">
        <v>345</v>
      </c>
      <c r="I11" s="162"/>
    </row>
    <row r="12" spans="2:9" ht="121.5" thickTop="1" thickBot="1" x14ac:dyDescent="0.3">
      <c r="B12" s="161"/>
      <c r="C12" s="176" t="s">
        <v>79</v>
      </c>
      <c r="D12" s="595">
        <v>324</v>
      </c>
      <c r="E12" s="596">
        <v>324</v>
      </c>
      <c r="F12" s="628">
        <v>507</v>
      </c>
      <c r="G12" s="629">
        <v>258</v>
      </c>
      <c r="H12" s="612" t="s">
        <v>346</v>
      </c>
      <c r="I12" s="162"/>
    </row>
    <row r="13" spans="2:9" ht="15.75" thickTop="1" x14ac:dyDescent="0.25">
      <c r="B13" s="161"/>
      <c r="C13" s="1"/>
      <c r="D13" s="166"/>
      <c r="E13" s="166"/>
      <c r="I13" s="162"/>
    </row>
    <row r="14" spans="2:9" ht="15.75" thickBot="1" x14ac:dyDescent="0.3">
      <c r="B14" s="158"/>
      <c r="C14" s="159"/>
      <c r="D14" s="159"/>
      <c r="E14" s="159"/>
      <c r="F14" s="159"/>
      <c r="G14" s="159"/>
      <c r="H14" s="159"/>
      <c r="I14" s="160"/>
    </row>
    <row r="15" spans="2:9" ht="15.75" thickTop="1" x14ac:dyDescent="0.25"/>
  </sheetData>
  <sheetProtection algorithmName="SHA-512" hashValue="C9raScSumWmz/ZCJz3rtEMu0DlguLQfMb3dzTRdFIDneizjZgUkemUESXUHuNUQdjd267sS+B2jmGSXgiTDCwA==" saltValue="liEs3DRGBfA9IzifkFDaBA==" spinCount="100000" sheet="1" formatCells="0" formatColumns="0" formatRows="0" selectLockedCells="1"/>
  <protectedRanges>
    <protectedRange sqref="D9" name="Range1_1"/>
  </protectedRanges>
  <mergeCells count="5">
    <mergeCell ref="H8:H9"/>
    <mergeCell ref="C5:H5"/>
    <mergeCell ref="C8:C9"/>
    <mergeCell ref="D8:E8"/>
    <mergeCell ref="F8:G8"/>
  </mergeCells>
  <pageMargins left="0.7" right="0.7" top="0.75" bottom="0.75" header="0.3" footer="0.3"/>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J22"/>
  <sheetViews>
    <sheetView zoomScale="90" zoomScaleNormal="90" workbookViewId="0">
      <selection activeCell="G15" sqref="G15"/>
    </sheetView>
  </sheetViews>
  <sheetFormatPr defaultRowHeight="15" x14ac:dyDescent="0.25"/>
  <cols>
    <col min="3" max="3" width="12.140625" customWidth="1"/>
    <col min="4" max="4" width="18.5703125" customWidth="1"/>
    <col min="5" max="5" width="15.28515625" customWidth="1"/>
    <col min="6" max="6" width="13.28515625" customWidth="1"/>
    <col min="7" max="7" width="46.42578125" customWidth="1"/>
  </cols>
  <sheetData>
    <row r="1" spans="2:10" ht="15.75" thickBot="1" x14ac:dyDescent="0.3"/>
    <row r="2" spans="2:10" ht="15.75" thickTop="1" x14ac:dyDescent="0.25">
      <c r="B2" s="143"/>
      <c r="C2" s="144"/>
      <c r="D2" s="144"/>
      <c r="E2" s="144"/>
      <c r="F2" s="144"/>
      <c r="G2" s="144"/>
      <c r="H2" s="145"/>
    </row>
    <row r="3" spans="2:10" ht="18.75" x14ac:dyDescent="0.3">
      <c r="B3" s="161"/>
      <c r="C3" s="165" t="s">
        <v>80</v>
      </c>
      <c r="H3" s="162"/>
    </row>
    <row r="4" spans="2:10" x14ac:dyDescent="0.25">
      <c r="B4" s="161"/>
      <c r="H4" s="162"/>
    </row>
    <row r="5" spans="2:10" ht="66" customHeight="1" x14ac:dyDescent="0.25">
      <c r="B5" s="161"/>
      <c r="C5" s="679" t="s">
        <v>74</v>
      </c>
      <c r="D5" s="679"/>
      <c r="E5" s="679"/>
      <c r="F5" s="679"/>
      <c r="G5" s="679"/>
      <c r="H5" s="170"/>
      <c r="I5" s="166"/>
      <c r="J5" s="166"/>
    </row>
    <row r="6" spans="2:10" x14ac:dyDescent="0.25">
      <c r="B6" s="161"/>
      <c r="H6" s="162"/>
    </row>
    <row r="7" spans="2:10" ht="18.75" x14ac:dyDescent="0.3">
      <c r="B7" s="161"/>
      <c r="C7" s="174" t="s">
        <v>81</v>
      </c>
      <c r="H7" s="162"/>
    </row>
    <row r="8" spans="2:10" ht="45.75" thickBot="1" x14ac:dyDescent="0.3">
      <c r="B8" s="161"/>
      <c r="C8" s="316" t="s">
        <v>82</v>
      </c>
      <c r="D8" s="321" t="s">
        <v>43</v>
      </c>
      <c r="E8" s="320" t="s">
        <v>83</v>
      </c>
      <c r="F8" s="320" t="s">
        <v>60</v>
      </c>
      <c r="G8" s="320" t="s">
        <v>61</v>
      </c>
      <c r="H8" s="162"/>
    </row>
    <row r="9" spans="2:10" ht="75.75" thickTop="1" x14ac:dyDescent="0.25">
      <c r="B9" s="161"/>
      <c r="C9" s="681" t="s">
        <v>84</v>
      </c>
      <c r="D9" s="575" t="s">
        <v>85</v>
      </c>
      <c r="E9" s="571">
        <v>69</v>
      </c>
      <c r="F9" s="624" t="s">
        <v>337</v>
      </c>
      <c r="G9" s="620"/>
      <c r="H9" s="162"/>
    </row>
    <row r="10" spans="2:10" ht="30.75" thickBot="1" x14ac:dyDescent="0.3">
      <c r="B10" s="161"/>
      <c r="C10" s="682"/>
      <c r="D10" s="582" t="s">
        <v>86</v>
      </c>
      <c r="E10" s="576" t="s">
        <v>87</v>
      </c>
      <c r="F10" s="623" t="s">
        <v>333</v>
      </c>
      <c r="G10" s="621"/>
      <c r="H10" s="162"/>
    </row>
    <row r="11" spans="2:10" ht="8.25" customHeight="1" thickTop="1" thickBot="1" x14ac:dyDescent="0.3">
      <c r="B11" s="161"/>
      <c r="C11" s="686"/>
      <c r="D11" s="687"/>
      <c r="E11" s="687"/>
      <c r="F11" s="687"/>
      <c r="G11" s="688"/>
      <c r="H11" s="162"/>
    </row>
    <row r="12" spans="2:10" ht="90.75" thickTop="1" x14ac:dyDescent="0.25">
      <c r="B12" s="161"/>
      <c r="C12" s="681" t="s">
        <v>88</v>
      </c>
      <c r="D12" s="575" t="s">
        <v>89</v>
      </c>
      <c r="E12" s="575">
        <v>300</v>
      </c>
      <c r="F12" s="618">
        <v>322</v>
      </c>
      <c r="G12" s="622"/>
      <c r="H12" s="162"/>
    </row>
    <row r="13" spans="2:10" ht="30.75" thickBot="1" x14ac:dyDescent="0.3">
      <c r="B13" s="161"/>
      <c r="C13" s="682"/>
      <c r="D13" s="582" t="s">
        <v>86</v>
      </c>
      <c r="E13" s="576" t="s">
        <v>90</v>
      </c>
      <c r="F13" s="623" t="s">
        <v>334</v>
      </c>
      <c r="G13" s="621"/>
      <c r="H13" s="162"/>
    </row>
    <row r="14" spans="2:10" ht="7.5" customHeight="1" thickTop="1" thickBot="1" x14ac:dyDescent="0.3">
      <c r="B14" s="161"/>
      <c r="C14" s="686"/>
      <c r="D14" s="687"/>
      <c r="E14" s="687"/>
      <c r="F14" s="687"/>
      <c r="G14" s="688"/>
      <c r="H14" s="162"/>
    </row>
    <row r="15" spans="2:10" ht="91.5" thickTop="1" thickBot="1" x14ac:dyDescent="0.3">
      <c r="B15" s="161"/>
      <c r="C15" s="583" t="s">
        <v>91</v>
      </c>
      <c r="D15" s="577" t="s">
        <v>92</v>
      </c>
      <c r="E15" s="577" t="s">
        <v>93</v>
      </c>
      <c r="F15" s="625" t="s">
        <v>338</v>
      </c>
      <c r="G15" s="626"/>
      <c r="H15" s="162"/>
    </row>
    <row r="16" spans="2:10" ht="7.5" customHeight="1" thickTop="1" x14ac:dyDescent="0.25">
      <c r="B16" s="161"/>
      <c r="C16" s="683"/>
      <c r="D16" s="684"/>
      <c r="E16" s="684"/>
      <c r="F16" s="684"/>
      <c r="G16" s="685"/>
      <c r="H16" s="162"/>
    </row>
    <row r="17" spans="2:8" ht="45" x14ac:dyDescent="0.25">
      <c r="B17" s="161"/>
      <c r="C17" s="584" t="s">
        <v>94</v>
      </c>
      <c r="D17" s="584" t="s">
        <v>95</v>
      </c>
      <c r="E17" s="572">
        <v>13</v>
      </c>
      <c r="F17" s="573">
        <v>17</v>
      </c>
      <c r="G17" s="611"/>
      <c r="H17" s="162"/>
    </row>
    <row r="18" spans="2:8" x14ac:dyDescent="0.25">
      <c r="B18" s="161"/>
      <c r="C18" s="574"/>
      <c r="D18" s="574"/>
      <c r="E18" s="573"/>
      <c r="F18" s="573"/>
      <c r="G18" s="598"/>
      <c r="H18" s="162"/>
    </row>
    <row r="19" spans="2:8" x14ac:dyDescent="0.25">
      <c r="B19" s="161"/>
      <c r="C19" s="574"/>
      <c r="D19" s="574"/>
      <c r="E19" s="573"/>
      <c r="F19" s="573"/>
      <c r="G19" s="598"/>
      <c r="H19" s="162"/>
    </row>
    <row r="20" spans="2:8" x14ac:dyDescent="0.25">
      <c r="B20" s="161"/>
      <c r="H20" s="162"/>
    </row>
    <row r="21" spans="2:8" ht="15.75" thickBot="1" x14ac:dyDescent="0.3">
      <c r="B21" s="158"/>
      <c r="C21" s="159"/>
      <c r="D21" s="159"/>
      <c r="E21" s="159"/>
      <c r="F21" s="159"/>
      <c r="G21" s="159"/>
      <c r="H21" s="160"/>
    </row>
    <row r="22" spans="2:8" ht="15.75" thickTop="1" x14ac:dyDescent="0.25"/>
  </sheetData>
  <sheetProtection algorithmName="SHA-512" hashValue="VBL9yy7loe9V1yy+81FyP3q3jHk5fsx0rpsNNrp32OZw4e5r5lL1Gw8eTPqOspAa31hp62+NSwhk2E/vf8ug7A==" saltValue="6DeBbGVCzIqnn1j3NI/2BA==" spinCount="100000" sheet="1" formatCells="0" formatColumns="0" formatRows="0" selectLockedCells="1"/>
  <mergeCells count="6">
    <mergeCell ref="C9:C10"/>
    <mergeCell ref="C12:C13"/>
    <mergeCell ref="C5:G5"/>
    <mergeCell ref="C16:G16"/>
    <mergeCell ref="C14:G14"/>
    <mergeCell ref="C11:G11"/>
  </mergeCells>
  <pageMargins left="0.7" right="0.7" top="0.75" bottom="0.7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I20"/>
  <sheetViews>
    <sheetView topLeftCell="A10" workbookViewId="0">
      <selection activeCell="F16" sqref="F16"/>
    </sheetView>
  </sheetViews>
  <sheetFormatPr defaultRowHeight="15" x14ac:dyDescent="0.25"/>
  <cols>
    <col min="3" max="3" width="25.140625" customWidth="1"/>
    <col min="4" max="4" width="14.85546875" customWidth="1"/>
    <col min="5" max="5" width="12" customWidth="1"/>
    <col min="6" max="6" width="37.42578125" customWidth="1"/>
  </cols>
  <sheetData>
    <row r="1" spans="2:9" ht="15.75" thickBot="1" x14ac:dyDescent="0.3"/>
    <row r="2" spans="2:9" ht="15.75" thickTop="1" x14ac:dyDescent="0.25">
      <c r="B2" s="143"/>
      <c r="C2" s="144"/>
      <c r="D2" s="144"/>
      <c r="E2" s="144"/>
      <c r="F2" s="144"/>
      <c r="G2" s="145"/>
    </row>
    <row r="3" spans="2:9" ht="18.75" x14ac:dyDescent="0.3">
      <c r="B3" s="161"/>
      <c r="C3" s="165" t="s">
        <v>96</v>
      </c>
      <c r="G3" s="162"/>
    </row>
    <row r="4" spans="2:9" x14ac:dyDescent="0.25">
      <c r="B4" s="161"/>
      <c r="G4" s="162"/>
    </row>
    <row r="5" spans="2:9" ht="81" customHeight="1" x14ac:dyDescent="0.25">
      <c r="B5" s="161"/>
      <c r="C5" s="679" t="s">
        <v>40</v>
      </c>
      <c r="D5" s="679"/>
      <c r="E5" s="679"/>
      <c r="F5" s="679"/>
      <c r="G5" s="163"/>
      <c r="H5" s="164"/>
      <c r="I5" s="164"/>
    </row>
    <row r="6" spans="2:9" x14ac:dyDescent="0.25">
      <c r="B6" s="161"/>
      <c r="G6" s="162"/>
    </row>
    <row r="7" spans="2:9" ht="15.75" x14ac:dyDescent="0.25">
      <c r="B7" s="161"/>
      <c r="C7" s="178" t="s">
        <v>97</v>
      </c>
      <c r="G7" s="162"/>
    </row>
    <row r="8" spans="2:9" ht="45" x14ac:dyDescent="0.25">
      <c r="B8" s="161"/>
      <c r="C8" s="314" t="s">
        <v>43</v>
      </c>
      <c r="D8" s="315" t="s">
        <v>83</v>
      </c>
      <c r="E8" s="315" t="s">
        <v>60</v>
      </c>
      <c r="F8" s="315" t="s">
        <v>61</v>
      </c>
      <c r="G8" s="162"/>
    </row>
    <row r="9" spans="2:9" ht="30" x14ac:dyDescent="0.25">
      <c r="B9" s="161"/>
      <c r="C9" s="142" t="s">
        <v>98</v>
      </c>
      <c r="D9" s="588">
        <v>7372</v>
      </c>
      <c r="E9" s="597">
        <v>9488</v>
      </c>
      <c r="F9" s="611"/>
      <c r="G9" s="162"/>
    </row>
    <row r="10" spans="2:9" ht="45" x14ac:dyDescent="0.25">
      <c r="B10" s="161"/>
      <c r="C10" s="142" t="s">
        <v>99</v>
      </c>
      <c r="D10" s="588">
        <v>2065</v>
      </c>
      <c r="E10" s="597">
        <v>2891</v>
      </c>
      <c r="F10" s="611"/>
      <c r="G10" s="162"/>
    </row>
    <row r="11" spans="2:9" ht="45" x14ac:dyDescent="0.25">
      <c r="B11" s="161"/>
      <c r="C11" s="142" t="s">
        <v>100</v>
      </c>
      <c r="D11" s="588">
        <v>4238</v>
      </c>
      <c r="E11" s="597">
        <v>5682</v>
      </c>
      <c r="F11" s="611"/>
      <c r="G11" s="162"/>
    </row>
    <row r="12" spans="2:9" ht="30" x14ac:dyDescent="0.25">
      <c r="B12" s="161"/>
      <c r="C12" s="142" t="s">
        <v>101</v>
      </c>
      <c r="D12" s="588"/>
      <c r="E12" s="597"/>
      <c r="F12" s="598"/>
      <c r="G12" s="162"/>
    </row>
    <row r="13" spans="2:9" ht="60" x14ac:dyDescent="0.25">
      <c r="B13" s="161"/>
      <c r="C13" s="581" t="s">
        <v>102</v>
      </c>
      <c r="D13" s="588">
        <v>77</v>
      </c>
      <c r="E13" s="597">
        <v>73</v>
      </c>
      <c r="F13" s="627" t="s">
        <v>339</v>
      </c>
      <c r="G13" s="162"/>
    </row>
    <row r="14" spans="2:9" x14ac:dyDescent="0.25">
      <c r="B14" s="161"/>
      <c r="C14" s="581" t="s">
        <v>103</v>
      </c>
      <c r="D14" s="588">
        <v>45</v>
      </c>
      <c r="E14" s="597">
        <v>137</v>
      </c>
      <c r="F14" s="611"/>
      <c r="G14" s="162"/>
    </row>
    <row r="15" spans="2:9" ht="60" x14ac:dyDescent="0.25">
      <c r="B15" s="161"/>
      <c r="C15" s="581" t="s">
        <v>104</v>
      </c>
      <c r="D15" s="588">
        <v>42</v>
      </c>
      <c r="E15" s="597">
        <v>29</v>
      </c>
      <c r="F15" s="614" t="s">
        <v>342</v>
      </c>
      <c r="G15" s="162"/>
    </row>
    <row r="16" spans="2:9" ht="45" x14ac:dyDescent="0.25">
      <c r="B16" s="161"/>
      <c r="C16" s="581" t="s">
        <v>105</v>
      </c>
      <c r="D16" s="588">
        <v>605</v>
      </c>
      <c r="E16" s="597">
        <v>528</v>
      </c>
      <c r="F16" s="614" t="s">
        <v>343</v>
      </c>
      <c r="G16" s="162"/>
    </row>
    <row r="17" spans="2:7" ht="30" x14ac:dyDescent="0.25">
      <c r="B17" s="161"/>
      <c r="C17" s="142" t="s">
        <v>106</v>
      </c>
      <c r="D17" s="588">
        <v>1200</v>
      </c>
      <c r="E17" s="597">
        <v>1739</v>
      </c>
      <c r="F17" s="611"/>
      <c r="G17" s="162"/>
    </row>
    <row r="18" spans="2:7" ht="45" x14ac:dyDescent="0.25">
      <c r="B18" s="161"/>
      <c r="C18" s="142" t="s">
        <v>107</v>
      </c>
      <c r="D18" s="588">
        <v>6408</v>
      </c>
      <c r="E18" s="597">
        <v>7670</v>
      </c>
      <c r="F18" s="611"/>
      <c r="G18" s="162"/>
    </row>
    <row r="19" spans="2:7" ht="15.75" thickBot="1" x14ac:dyDescent="0.3">
      <c r="B19" s="158"/>
      <c r="C19" s="159"/>
      <c r="D19" s="159"/>
      <c r="E19" s="159"/>
      <c r="F19" s="159"/>
      <c r="G19" s="160"/>
    </row>
    <row r="20" spans="2:7" ht="15.75" thickTop="1" x14ac:dyDescent="0.25"/>
  </sheetData>
  <sheetProtection algorithmName="SHA-512" hashValue="TRdLhe3vBHdzWBlhXj1vtLPsMCLDaEqc6k0G+ageEYTe+3Avox142er6GIoburxW77HE3+hBY30CaI3nfRRSwQ==" saltValue="xTbT0HG2o6Qs9eR0dEjyCA==" spinCount="100000" sheet="1" formatCells="0" formatColumns="0" formatRows="0" selectLockedCells="1"/>
  <mergeCells count="1">
    <mergeCell ref="C5:F5"/>
  </mergeCells>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50"/>
  <sheetViews>
    <sheetView zoomScale="80" zoomScaleNormal="80" workbookViewId="0">
      <selection activeCell="C13" sqref="C13:C25"/>
    </sheetView>
  </sheetViews>
  <sheetFormatPr defaultRowHeight="15" x14ac:dyDescent="0.25"/>
  <cols>
    <col min="1" max="1" width="36.42578125" customWidth="1"/>
    <col min="2" max="2" width="45.28515625" customWidth="1"/>
    <col min="3" max="3" width="36.7109375" customWidth="1"/>
  </cols>
  <sheetData>
    <row r="1" spans="1:3" ht="24" thickBot="1" x14ac:dyDescent="0.4">
      <c r="A1" s="695" t="s">
        <v>108</v>
      </c>
      <c r="B1" s="696"/>
      <c r="C1" s="697"/>
    </row>
    <row r="2" spans="1:3" ht="15.75" x14ac:dyDescent="0.25">
      <c r="A2" s="3"/>
    </row>
    <row r="3" spans="1:3" x14ac:dyDescent="0.25">
      <c r="A3" s="4"/>
      <c r="B3" s="5" t="s">
        <v>109</v>
      </c>
      <c r="C3" s="4" t="s">
        <v>110</v>
      </c>
    </row>
    <row r="4" spans="1:3" ht="45" x14ac:dyDescent="0.25">
      <c r="A4" s="6" t="s">
        <v>111</v>
      </c>
      <c r="B4" s="7" t="s">
        <v>112</v>
      </c>
      <c r="C4" s="8" t="s">
        <v>113</v>
      </c>
    </row>
    <row r="5" spans="1:3" ht="60" x14ac:dyDescent="0.25">
      <c r="A5" s="9" t="s">
        <v>114</v>
      </c>
      <c r="B5" s="7" t="s">
        <v>115</v>
      </c>
      <c r="C5" s="8" t="s">
        <v>116</v>
      </c>
    </row>
    <row r="6" spans="1:3" ht="300" x14ac:dyDescent="0.25">
      <c r="A6" s="10" t="s">
        <v>117</v>
      </c>
      <c r="B6" s="7" t="s">
        <v>118</v>
      </c>
      <c r="C6" s="11" t="s">
        <v>119</v>
      </c>
    </row>
    <row r="7" spans="1:3" ht="15.75" x14ac:dyDescent="0.25">
      <c r="A7" s="3"/>
    </row>
    <row r="8" spans="1:3" x14ac:dyDescent="0.25">
      <c r="A8" s="698" t="s">
        <v>120</v>
      </c>
      <c r="B8" s="699"/>
      <c r="C8" s="4" t="s">
        <v>110</v>
      </c>
    </row>
    <row r="9" spans="1:3" ht="90" x14ac:dyDescent="0.25">
      <c r="A9" s="12" t="s">
        <v>121</v>
      </c>
      <c r="B9" s="13" t="s">
        <v>122</v>
      </c>
      <c r="C9" s="13"/>
    </row>
    <row r="12" spans="1:3" x14ac:dyDescent="0.25">
      <c r="A12" s="4" t="s">
        <v>123</v>
      </c>
      <c r="B12" s="5" t="s">
        <v>124</v>
      </c>
      <c r="C12" s="4" t="s">
        <v>125</v>
      </c>
    </row>
    <row r="13" spans="1:3" x14ac:dyDescent="0.25">
      <c r="A13" s="14" t="s">
        <v>126</v>
      </c>
      <c r="B13" s="15" t="s">
        <v>127</v>
      </c>
      <c r="C13" s="692" t="s">
        <v>128</v>
      </c>
    </row>
    <row r="14" spans="1:3" x14ac:dyDescent="0.25">
      <c r="A14" s="16" t="s">
        <v>129</v>
      </c>
      <c r="B14" s="17" t="s">
        <v>130</v>
      </c>
      <c r="C14" s="693"/>
    </row>
    <row r="15" spans="1:3" x14ac:dyDescent="0.25">
      <c r="A15" s="700" t="s">
        <v>131</v>
      </c>
      <c r="B15" s="17" t="s">
        <v>132</v>
      </c>
      <c r="C15" s="693"/>
    </row>
    <row r="16" spans="1:3" x14ac:dyDescent="0.25">
      <c r="A16" s="701"/>
      <c r="B16" s="18" t="s">
        <v>133</v>
      </c>
      <c r="C16" s="693"/>
    </row>
    <row r="17" spans="1:3" x14ac:dyDescent="0.25">
      <c r="A17" s="701"/>
      <c r="B17" s="17" t="s">
        <v>134</v>
      </c>
      <c r="C17" s="693"/>
    </row>
    <row r="18" spans="1:3" x14ac:dyDescent="0.25">
      <c r="A18" s="701"/>
      <c r="B18" s="17" t="s">
        <v>135</v>
      </c>
      <c r="C18" s="693"/>
    </row>
    <row r="19" spans="1:3" x14ac:dyDescent="0.25">
      <c r="A19" s="701"/>
      <c r="B19" s="17" t="s">
        <v>136</v>
      </c>
      <c r="C19" s="693"/>
    </row>
    <row r="20" spans="1:3" x14ac:dyDescent="0.25">
      <c r="A20" s="16" t="s">
        <v>137</v>
      </c>
      <c r="B20" s="17" t="s">
        <v>138</v>
      </c>
      <c r="C20" s="693"/>
    </row>
    <row r="21" spans="1:3" x14ac:dyDescent="0.25">
      <c r="A21" s="700" t="s">
        <v>139</v>
      </c>
      <c r="B21" s="17">
        <v>54</v>
      </c>
      <c r="C21" s="693"/>
    </row>
    <row r="22" spans="1:3" x14ac:dyDescent="0.25">
      <c r="A22" s="693"/>
      <c r="B22" s="17" t="s">
        <v>140</v>
      </c>
      <c r="C22" s="693"/>
    </row>
    <row r="23" spans="1:3" x14ac:dyDescent="0.25">
      <c r="A23" s="693"/>
      <c r="B23" s="19" t="s">
        <v>141</v>
      </c>
      <c r="C23" s="693"/>
    </row>
    <row r="24" spans="1:3" x14ac:dyDescent="0.25">
      <c r="A24" s="693"/>
      <c r="B24" s="19" t="s">
        <v>142</v>
      </c>
      <c r="C24" s="693"/>
    </row>
    <row r="25" spans="1:3" x14ac:dyDescent="0.25">
      <c r="A25" s="20" t="s">
        <v>143</v>
      </c>
      <c r="B25" s="21" t="s">
        <v>144</v>
      </c>
      <c r="C25" s="694"/>
    </row>
    <row r="26" spans="1:3" x14ac:dyDescent="0.25">
      <c r="A26" s="20" t="s">
        <v>145</v>
      </c>
      <c r="B26" s="21" t="s">
        <v>146</v>
      </c>
      <c r="C26" s="22" t="s">
        <v>147</v>
      </c>
    </row>
    <row r="27" spans="1:3" x14ac:dyDescent="0.25">
      <c r="A27" s="689" t="s">
        <v>148</v>
      </c>
      <c r="B27" s="17" t="s">
        <v>149</v>
      </c>
      <c r="C27" s="692" t="s">
        <v>128</v>
      </c>
    </row>
    <row r="28" spans="1:3" x14ac:dyDescent="0.25">
      <c r="A28" s="690"/>
      <c r="B28" s="17" t="s">
        <v>150</v>
      </c>
      <c r="C28" s="693"/>
    </row>
    <row r="29" spans="1:3" x14ac:dyDescent="0.25">
      <c r="A29" s="690"/>
      <c r="B29" s="17" t="s">
        <v>151</v>
      </c>
      <c r="C29" s="693"/>
    </row>
    <row r="30" spans="1:3" x14ac:dyDescent="0.25">
      <c r="A30" s="690"/>
      <c r="B30" s="17" t="s">
        <v>152</v>
      </c>
      <c r="C30" s="694"/>
    </row>
    <row r="31" spans="1:3" x14ac:dyDescent="0.25">
      <c r="A31" s="691"/>
      <c r="B31" s="17" t="s">
        <v>153</v>
      </c>
      <c r="C31" s="22" t="s">
        <v>147</v>
      </c>
    </row>
    <row r="32" spans="1:3" x14ac:dyDescent="0.25">
      <c r="B32" s="23"/>
    </row>
    <row r="33" spans="1:3" x14ac:dyDescent="0.25">
      <c r="B33" s="23"/>
    </row>
    <row r="34" spans="1:3" x14ac:dyDescent="0.25">
      <c r="A34" s="24" t="s">
        <v>154</v>
      </c>
      <c r="B34" s="24" t="s">
        <v>155</v>
      </c>
      <c r="C34" s="4" t="s">
        <v>110</v>
      </c>
    </row>
    <row r="35" spans="1:3" x14ac:dyDescent="0.25">
      <c r="A35" s="16" t="s">
        <v>156</v>
      </c>
      <c r="B35" s="25" t="s">
        <v>157</v>
      </c>
      <c r="C35" s="26"/>
    </row>
    <row r="36" spans="1:3" x14ac:dyDescent="0.25">
      <c r="A36" s="16" t="s">
        <v>158</v>
      </c>
      <c r="B36" s="27" t="s">
        <v>159</v>
      </c>
      <c r="C36" s="28"/>
    </row>
    <row r="37" spans="1:3" x14ac:dyDescent="0.25">
      <c r="B37" s="23"/>
    </row>
    <row r="38" spans="1:3" x14ac:dyDescent="0.25">
      <c r="B38" s="23"/>
    </row>
    <row r="39" spans="1:3" x14ac:dyDescent="0.25">
      <c r="A39" s="4" t="s">
        <v>160</v>
      </c>
      <c r="B39" s="4" t="s">
        <v>161</v>
      </c>
    </row>
    <row r="40" spans="1:3" x14ac:dyDescent="0.25">
      <c r="A40" s="16" t="s">
        <v>162</v>
      </c>
      <c r="B40" s="29" t="s">
        <v>163</v>
      </c>
    </row>
    <row r="41" spans="1:3" x14ac:dyDescent="0.25">
      <c r="A41" s="30"/>
      <c r="B41" s="23"/>
    </row>
    <row r="42" spans="1:3" x14ac:dyDescent="0.25">
      <c r="A42" s="30"/>
      <c r="B42" s="23"/>
    </row>
    <row r="43" spans="1:3" x14ac:dyDescent="0.25">
      <c r="A43" s="4" t="s">
        <v>164</v>
      </c>
      <c r="B43" s="4" t="s">
        <v>165</v>
      </c>
    </row>
    <row r="44" spans="1:3" x14ac:dyDescent="0.25">
      <c r="A44" s="16" t="s">
        <v>166</v>
      </c>
      <c r="B44" s="29">
        <v>0</v>
      </c>
    </row>
    <row r="45" spans="1:3" x14ac:dyDescent="0.25">
      <c r="A45" s="30"/>
      <c r="B45" s="23"/>
    </row>
    <row r="46" spans="1:3" x14ac:dyDescent="0.25">
      <c r="A46" s="30"/>
      <c r="B46" s="23"/>
    </row>
    <row r="47" spans="1:3" x14ac:dyDescent="0.25">
      <c r="A47" s="4" t="s">
        <v>167</v>
      </c>
      <c r="B47" s="4" t="s">
        <v>168</v>
      </c>
      <c r="C47" s="4" t="s">
        <v>169</v>
      </c>
    </row>
    <row r="48" spans="1:3" x14ac:dyDescent="0.25">
      <c r="A48" s="16" t="s">
        <v>170</v>
      </c>
      <c r="B48" s="29">
        <v>1</v>
      </c>
      <c r="C48" s="22" t="s">
        <v>171</v>
      </c>
    </row>
    <row r="49" spans="1:3" x14ac:dyDescent="0.25">
      <c r="A49" s="16" t="s">
        <v>172</v>
      </c>
      <c r="B49" s="29">
        <v>1</v>
      </c>
      <c r="C49" s="22" t="s">
        <v>173</v>
      </c>
    </row>
    <row r="50" spans="1:3" x14ac:dyDescent="0.25">
      <c r="A50" s="16" t="s">
        <v>174</v>
      </c>
      <c r="B50" s="29">
        <v>1</v>
      </c>
      <c r="C50" s="22" t="s">
        <v>175</v>
      </c>
    </row>
  </sheetData>
  <sheetProtection algorithmName="SHA-512" hashValue="KpRTP5V/kDaLiZ8s6ind3If/ARkompZJC5amCVMtrw4VrwkUoqqWaU3hk1fhfY8VNoE/TfVxQw2E7BN8D6p4dw==" saltValue="Gikog/PyHWUludjC6UJq2Q==" spinCount="100000" sheet="1" selectLockedCells="1"/>
  <mergeCells count="7">
    <mergeCell ref="A27:A31"/>
    <mergeCell ref="C27:C30"/>
    <mergeCell ref="A1:C1"/>
    <mergeCell ref="A8:B8"/>
    <mergeCell ref="C13:C25"/>
    <mergeCell ref="A15:A19"/>
    <mergeCell ref="A21:A24"/>
  </mergeCells>
  <printOptions horizontalCentered="1" verticalCentered="1"/>
  <pageMargins left="0.11811023622047245" right="0.11811023622047245" top="0.35433070866141736" bottom="0.15748031496062992" header="0.31496062992125984" footer="0.31496062992125984"/>
  <pageSetup paperSize="9" scale="6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S108"/>
  <sheetViews>
    <sheetView topLeftCell="A33" zoomScale="75" zoomScaleNormal="75" workbookViewId="0">
      <selection activeCell="P13" sqref="P13"/>
    </sheetView>
  </sheetViews>
  <sheetFormatPr defaultColWidth="9.140625" defaultRowHeight="15" outlineLevelCol="1" x14ac:dyDescent="0.25"/>
  <cols>
    <col min="1" max="1" width="17" style="164" customWidth="1"/>
    <col min="2" max="2" width="29.42578125" style="481" customWidth="1"/>
    <col min="3" max="3" width="11.28515625" style="481" customWidth="1"/>
    <col min="4" max="4" width="10.85546875" style="481" customWidth="1"/>
    <col min="5" max="5" width="10.7109375" style="481" customWidth="1"/>
    <col min="6" max="6" width="11" style="116" customWidth="1"/>
    <col min="7" max="7" width="12.140625" style="116" customWidth="1"/>
    <col min="8" max="8" width="12.28515625" style="116" customWidth="1"/>
    <col min="9" max="9" width="11.42578125" style="116" customWidth="1"/>
    <col min="10" max="10" width="12.140625" style="116" customWidth="1"/>
    <col min="11" max="11" width="13.140625" style="116" customWidth="1"/>
    <col min="12" max="12" width="10.85546875" style="116" customWidth="1"/>
    <col min="13" max="13" width="14.28515625" style="116" customWidth="1"/>
    <col min="14" max="14" width="11.140625" style="116" customWidth="1" outlineLevel="1"/>
    <col min="15" max="15" width="10.140625" style="116" customWidth="1" outlineLevel="1"/>
    <col min="16" max="17" width="9.28515625" style="116" customWidth="1" outlineLevel="1"/>
    <col min="18" max="18" width="9" style="116" customWidth="1" outlineLevel="1"/>
    <col min="19" max="19" width="9.5703125" style="116" customWidth="1" outlineLevel="1"/>
    <col min="20" max="20" width="10.7109375" style="116" customWidth="1" outlineLevel="1"/>
    <col min="21" max="21" width="13.28515625" style="116" customWidth="1" outlineLevel="1"/>
    <col min="22" max="22" width="8" style="116" customWidth="1" outlineLevel="1"/>
    <col min="23" max="23" width="15.7109375" style="116" customWidth="1" outlineLevel="1"/>
    <col min="24" max="24" width="13.28515625" style="116" customWidth="1" outlineLevel="1"/>
    <col min="25" max="25" width="12.140625" style="116" customWidth="1" outlineLevel="1"/>
    <col min="26" max="28" width="14" style="116" customWidth="1" outlineLevel="1"/>
    <col min="29" max="29" width="15.28515625" style="116" customWidth="1" outlineLevel="1"/>
    <col min="30" max="30" width="9.28515625" style="116" customWidth="1" outlineLevel="1"/>
    <col min="31" max="32" width="18.140625" style="116" customWidth="1" outlineLevel="1"/>
    <col min="33" max="41" width="9.28515625" style="116" customWidth="1" outlineLevel="1"/>
    <col min="42" max="42" width="7.5703125" style="116" customWidth="1" outlineLevel="1"/>
    <col min="43" max="43" width="8.140625" style="116" customWidth="1" outlineLevel="1"/>
    <col min="44" max="44" width="10.42578125" style="116" customWidth="1" outlineLevel="1"/>
    <col min="45" max="45" width="9" style="116" customWidth="1" outlineLevel="1"/>
    <col min="46" max="46" width="10.140625" style="116" customWidth="1" outlineLevel="1"/>
    <col min="47" max="47" width="9" style="116" customWidth="1" outlineLevel="1"/>
    <col min="48" max="48" width="8.7109375" style="116" customWidth="1" outlineLevel="1"/>
    <col min="49" max="49" width="9" style="116" customWidth="1" outlineLevel="1"/>
    <col min="50" max="50" width="8.140625" style="116" customWidth="1" outlineLevel="1"/>
    <col min="51" max="51" width="9.5703125" style="116" customWidth="1" outlineLevel="1"/>
    <col min="52" max="52" width="8.7109375" style="116" customWidth="1" outlineLevel="1"/>
    <col min="53" max="53" width="10.85546875" style="116" customWidth="1" outlineLevel="1"/>
    <col min="54" max="54" width="13.5703125" style="116" customWidth="1" outlineLevel="1"/>
    <col min="55" max="55" width="11.7109375" style="116" customWidth="1" outlineLevel="1"/>
    <col min="56" max="56" width="10.85546875" style="116" customWidth="1" outlineLevel="1"/>
    <col min="57" max="57" width="15.42578125" style="116" customWidth="1" outlineLevel="1"/>
    <col min="58" max="58" width="13.85546875" style="116" customWidth="1" outlineLevel="1"/>
    <col min="59" max="59" width="15.7109375" style="480" customWidth="1" outlineLevel="1"/>
    <col min="60" max="65" width="6.42578125" style="480" customWidth="1"/>
    <col min="66" max="120" width="9.140625" style="480"/>
    <col min="121" max="16384" width="9.140625" style="481"/>
  </cols>
  <sheetData>
    <row r="1" spans="1:122" ht="15.75" customHeight="1" x14ac:dyDescent="0.25">
      <c r="A1" s="702" t="s">
        <v>176</v>
      </c>
      <c r="B1" s="703"/>
      <c r="C1" s="703"/>
      <c r="D1" s="703"/>
      <c r="E1" s="703"/>
      <c r="F1" s="703"/>
      <c r="G1" s="703"/>
      <c r="H1" s="703"/>
      <c r="I1" s="703"/>
      <c r="J1" s="703"/>
      <c r="K1" s="703"/>
      <c r="L1" s="703"/>
      <c r="M1" s="703"/>
      <c r="N1" s="703"/>
      <c r="O1" s="703"/>
      <c r="P1" s="703"/>
      <c r="Q1" s="703"/>
      <c r="R1" s="703"/>
      <c r="S1" s="703"/>
      <c r="T1" s="703"/>
      <c r="U1" s="703"/>
      <c r="V1" s="703"/>
      <c r="W1" s="703"/>
      <c r="X1" s="703"/>
      <c r="Y1" s="703"/>
      <c r="Z1" s="703"/>
      <c r="AA1" s="703"/>
      <c r="AB1" s="703"/>
      <c r="AC1" s="703"/>
      <c r="AD1"/>
      <c r="AE1"/>
      <c r="AF1"/>
      <c r="AG1"/>
      <c r="AH1"/>
      <c r="AI1"/>
      <c r="AJ1"/>
      <c r="AK1"/>
      <c r="BB1" s="480"/>
      <c r="BC1" s="480"/>
      <c r="BD1" s="480"/>
      <c r="BE1" s="480"/>
      <c r="BF1" s="480"/>
      <c r="DL1" s="481"/>
      <c r="DM1" s="481"/>
      <c r="DN1" s="481"/>
      <c r="DO1" s="481"/>
      <c r="DP1" s="481"/>
    </row>
    <row r="2" spans="1:122" x14ac:dyDescent="0.25">
      <c r="A2" s="704" t="s">
        <v>177</v>
      </c>
      <c r="B2" s="704"/>
      <c r="C2" s="704"/>
      <c r="D2" s="512"/>
      <c r="E2" s="512"/>
    </row>
    <row r="3" spans="1:122" x14ac:dyDescent="0.25">
      <c r="A3" s="704"/>
      <c r="B3" s="704"/>
      <c r="C3" s="704"/>
      <c r="D3" s="512"/>
      <c r="E3" s="512"/>
    </row>
    <row r="4" spans="1:122" x14ac:dyDescent="0.25">
      <c r="A4" s="704"/>
      <c r="B4" s="704"/>
      <c r="C4" s="704"/>
      <c r="D4" s="512"/>
      <c r="E4" s="512"/>
    </row>
    <row r="5" spans="1:122" ht="21" customHeight="1" x14ac:dyDescent="0.25">
      <c r="A5" s="704"/>
      <c r="B5" s="704"/>
      <c r="C5" s="704"/>
      <c r="D5" s="512"/>
      <c r="E5" s="512"/>
      <c r="H5" s="482"/>
      <c r="K5" s="483"/>
      <c r="L5" s="484"/>
    </row>
    <row r="6" spans="1:122" x14ac:dyDescent="0.25">
      <c r="A6" s="704"/>
      <c r="B6" s="704"/>
      <c r="C6" s="704"/>
      <c r="D6" s="512"/>
      <c r="E6" s="512"/>
    </row>
    <row r="7" spans="1:122" x14ac:dyDescent="0.25">
      <c r="A7" s="704"/>
      <c r="B7" s="704"/>
      <c r="C7" s="704"/>
      <c r="D7" s="512"/>
      <c r="E7" s="512"/>
    </row>
    <row r="8" spans="1:122" x14ac:dyDescent="0.25">
      <c r="A8" s="704"/>
      <c r="B8" s="704"/>
      <c r="C8" s="704"/>
      <c r="D8" s="512"/>
      <c r="E8" s="512"/>
    </row>
    <row r="9" spans="1:122" ht="15.75" thickBot="1" x14ac:dyDescent="0.3">
      <c r="A9" s="513"/>
      <c r="B9" s="512"/>
      <c r="C9" s="512"/>
      <c r="D9" s="512"/>
      <c r="E9" s="512"/>
      <c r="BG9" s="116"/>
      <c r="BH9" s="116"/>
      <c r="DQ9" s="480"/>
      <c r="DR9" s="480"/>
    </row>
    <row r="10" spans="1:122" s="488" customFormat="1" ht="84" customHeight="1" x14ac:dyDescent="0.25">
      <c r="A10" s="705" t="s">
        <v>178</v>
      </c>
      <c r="B10" s="706"/>
      <c r="C10" s="711" t="s">
        <v>179</v>
      </c>
      <c r="D10" s="712"/>
      <c r="E10" s="713"/>
      <c r="F10" s="711" t="s">
        <v>180</v>
      </c>
      <c r="G10" s="712"/>
      <c r="H10" s="713"/>
      <c r="I10" s="711" t="s">
        <v>181</v>
      </c>
      <c r="J10" s="712"/>
      <c r="K10" s="713"/>
      <c r="L10" s="714" t="s">
        <v>182</v>
      </c>
      <c r="M10" s="715"/>
      <c r="N10" s="716" t="s">
        <v>183</v>
      </c>
      <c r="O10" s="717"/>
      <c r="P10" s="718" t="s">
        <v>184</v>
      </c>
      <c r="Q10" s="715"/>
      <c r="R10" s="718" t="s">
        <v>185</v>
      </c>
      <c r="S10" s="715"/>
      <c r="T10" s="725" t="s">
        <v>186</v>
      </c>
      <c r="U10" s="726"/>
      <c r="V10" s="725" t="s">
        <v>187</v>
      </c>
      <c r="W10" s="726"/>
      <c r="X10" s="725" t="s">
        <v>188</v>
      </c>
      <c r="Y10" s="716"/>
      <c r="Z10" s="725" t="s">
        <v>189</v>
      </c>
      <c r="AA10" s="727"/>
      <c r="AB10" s="485" t="s">
        <v>190</v>
      </c>
      <c r="AC10" s="486" t="s">
        <v>191</v>
      </c>
      <c r="AD10" s="116"/>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c r="BC10" s="487"/>
      <c r="BD10" s="487"/>
      <c r="BE10" s="487"/>
      <c r="BF10" s="487"/>
      <c r="BG10" s="487"/>
      <c r="BH10" s="487"/>
      <c r="BI10" s="487"/>
      <c r="BJ10" s="487"/>
      <c r="BK10" s="487"/>
      <c r="BL10" s="487"/>
      <c r="BM10" s="487"/>
      <c r="BN10" s="487"/>
      <c r="BO10" s="487"/>
      <c r="BP10" s="487"/>
      <c r="BQ10" s="487"/>
      <c r="BR10" s="487"/>
      <c r="BS10" s="487"/>
      <c r="BT10" s="487"/>
      <c r="BU10" s="487"/>
      <c r="BV10" s="487"/>
      <c r="BW10" s="487"/>
      <c r="BX10" s="487"/>
      <c r="BY10" s="487"/>
      <c r="BZ10" s="487"/>
    </row>
    <row r="11" spans="1:122" s="488" customFormat="1" ht="15.75" customHeight="1" x14ac:dyDescent="0.25">
      <c r="A11" s="707"/>
      <c r="B11" s="708"/>
      <c r="C11" s="719" t="s">
        <v>192</v>
      </c>
      <c r="D11" s="728"/>
      <c r="E11" s="729"/>
      <c r="F11" s="719" t="s">
        <v>192</v>
      </c>
      <c r="G11" s="728"/>
      <c r="H11" s="730"/>
      <c r="I11" s="731" t="s">
        <v>192</v>
      </c>
      <c r="J11" s="732"/>
      <c r="K11" s="732"/>
      <c r="L11" s="728" t="s">
        <v>192</v>
      </c>
      <c r="M11" s="720"/>
      <c r="N11" s="719" t="s">
        <v>192</v>
      </c>
      <c r="O11" s="720"/>
      <c r="P11" s="719" t="s">
        <v>192</v>
      </c>
      <c r="Q11" s="720"/>
      <c r="R11" s="719" t="s">
        <v>192</v>
      </c>
      <c r="S11" s="720"/>
      <c r="T11" s="721" t="s">
        <v>192</v>
      </c>
      <c r="U11" s="733"/>
      <c r="V11" s="721" t="s">
        <v>192</v>
      </c>
      <c r="W11" s="733"/>
      <c r="X11" s="721" t="s">
        <v>192</v>
      </c>
      <c r="Y11" s="734"/>
      <c r="Z11" s="721" t="s">
        <v>192</v>
      </c>
      <c r="AA11" s="722"/>
      <c r="AB11" s="260" t="s">
        <v>192</v>
      </c>
      <c r="AC11" s="260" t="s">
        <v>192</v>
      </c>
      <c r="AD11" s="116"/>
      <c r="AE11" s="487"/>
      <c r="AF11" s="487"/>
      <c r="AG11" s="487"/>
      <c r="AH11" s="487"/>
      <c r="AI11" s="487"/>
      <c r="AJ11" s="487"/>
      <c r="AK11" s="487"/>
      <c r="AL11" s="487"/>
      <c r="AM11" s="487"/>
      <c r="AN11" s="487"/>
      <c r="AO11" s="487"/>
      <c r="AP11" s="487"/>
      <c r="AQ11" s="487"/>
      <c r="AR11" s="487"/>
      <c r="AS11" s="487"/>
      <c r="AT11" s="487"/>
      <c r="AU11" s="487"/>
      <c r="AV11" s="487"/>
      <c r="AW11" s="487"/>
      <c r="AX11" s="487"/>
      <c r="AY11" s="487"/>
      <c r="AZ11" s="487"/>
      <c r="BA11" s="487"/>
      <c r="BB11" s="487"/>
      <c r="BC11" s="487"/>
      <c r="BD11" s="487"/>
      <c r="BE11" s="487"/>
      <c r="BF11" s="487"/>
      <c r="BG11" s="487"/>
      <c r="BH11" s="487"/>
      <c r="BI11" s="487"/>
      <c r="BJ11" s="487"/>
      <c r="BK11" s="487"/>
      <c r="BL11" s="487"/>
      <c r="BM11" s="487"/>
      <c r="BN11" s="487"/>
      <c r="BO11" s="487"/>
      <c r="BP11" s="487"/>
      <c r="BQ11" s="487"/>
      <c r="BR11" s="487"/>
      <c r="BS11" s="487"/>
      <c r="BT11" s="487"/>
      <c r="BU11" s="487"/>
      <c r="BV11" s="487"/>
      <c r="BW11" s="487"/>
      <c r="BX11" s="487"/>
      <c r="BY11" s="487"/>
      <c r="BZ11" s="487"/>
    </row>
    <row r="12" spans="1:122" s="488" customFormat="1" ht="15.75" thickBot="1" x14ac:dyDescent="0.3">
      <c r="A12" s="709"/>
      <c r="B12" s="710"/>
      <c r="C12" s="31" t="s">
        <v>158</v>
      </c>
      <c r="D12" s="179" t="s">
        <v>156</v>
      </c>
      <c r="E12" s="121" t="s">
        <v>193</v>
      </c>
      <c r="F12" s="31" t="s">
        <v>158</v>
      </c>
      <c r="G12" s="179" t="s">
        <v>156</v>
      </c>
      <c r="H12" s="121" t="s">
        <v>193</v>
      </c>
      <c r="I12" s="31" t="s">
        <v>158</v>
      </c>
      <c r="J12" s="262" t="s">
        <v>156</v>
      </c>
      <c r="K12" s="121" t="s">
        <v>193</v>
      </c>
      <c r="L12" s="218" t="s">
        <v>158</v>
      </c>
      <c r="M12" s="219" t="s">
        <v>156</v>
      </c>
      <c r="N12" s="31" t="s">
        <v>158</v>
      </c>
      <c r="O12" s="219" t="s">
        <v>156</v>
      </c>
      <c r="P12" s="31" t="s">
        <v>158</v>
      </c>
      <c r="Q12" s="219" t="s">
        <v>156</v>
      </c>
      <c r="R12" s="31" t="s">
        <v>158</v>
      </c>
      <c r="S12" s="219" t="s">
        <v>156</v>
      </c>
      <c r="T12" s="220" t="s">
        <v>158</v>
      </c>
      <c r="U12" s="221" t="s">
        <v>156</v>
      </c>
      <c r="V12" s="220" t="s">
        <v>158</v>
      </c>
      <c r="W12" s="222" t="s">
        <v>156</v>
      </c>
      <c r="X12" s="220" t="s">
        <v>158</v>
      </c>
      <c r="Y12" s="223" t="s">
        <v>156</v>
      </c>
      <c r="Z12" s="220" t="s">
        <v>158</v>
      </c>
      <c r="AA12" s="224" t="s">
        <v>156</v>
      </c>
      <c r="AB12" s="261" t="s">
        <v>194</v>
      </c>
      <c r="AC12" s="261" t="s">
        <v>194</v>
      </c>
      <c r="AD12" s="116"/>
      <c r="AE12" s="487"/>
      <c r="AF12" s="487"/>
      <c r="AG12" s="487"/>
      <c r="AH12" s="487"/>
      <c r="AI12" s="487"/>
      <c r="AJ12" s="487"/>
      <c r="AK12" s="487"/>
      <c r="AL12" s="487"/>
      <c r="AM12" s="487"/>
      <c r="AN12" s="487"/>
      <c r="AO12" s="487"/>
      <c r="AP12" s="487"/>
      <c r="AQ12" s="487"/>
      <c r="AR12" s="487"/>
      <c r="AS12" s="487"/>
      <c r="AT12" s="487"/>
      <c r="AU12" s="487"/>
      <c r="AV12" s="487"/>
      <c r="AW12" s="487"/>
      <c r="AX12" s="487"/>
      <c r="AY12" s="487"/>
      <c r="AZ12" s="487"/>
      <c r="BA12" s="487"/>
      <c r="BB12" s="487"/>
      <c r="BC12" s="487"/>
      <c r="BD12" s="487"/>
      <c r="BE12" s="487"/>
      <c r="BF12" s="487"/>
      <c r="BG12" s="487"/>
      <c r="BH12" s="487"/>
      <c r="BI12" s="487"/>
      <c r="BJ12" s="487"/>
      <c r="BK12" s="487"/>
      <c r="BL12" s="487"/>
      <c r="BM12" s="487"/>
      <c r="BN12" s="487"/>
      <c r="BO12" s="487"/>
      <c r="BP12" s="487"/>
      <c r="BQ12" s="487"/>
      <c r="BR12" s="487"/>
      <c r="BS12" s="487"/>
      <c r="BT12" s="487"/>
      <c r="BU12" s="487"/>
      <c r="BV12" s="487"/>
      <c r="BW12" s="487"/>
      <c r="BX12" s="487"/>
      <c r="BY12" s="487"/>
      <c r="BZ12" s="487"/>
    </row>
    <row r="13" spans="1:122" s="488" customFormat="1" ht="60.75" customHeight="1" thickBot="1" x14ac:dyDescent="0.3">
      <c r="A13" s="723" t="s">
        <v>195</v>
      </c>
      <c r="B13" s="724"/>
      <c r="C13" s="489">
        <f>'2021-22 ERC'!F6</f>
        <v>8778</v>
      </c>
      <c r="D13" s="489">
        <f>'2021-22 ERC'!G6</f>
        <v>2791</v>
      </c>
      <c r="E13" s="199">
        <f>SUM(C13:D13)</f>
        <v>11569</v>
      </c>
      <c r="F13" s="246">
        <f>L13+N13+P13+R13</f>
        <v>9494</v>
      </c>
      <c r="G13" s="246">
        <f>M13+O13+Q13+S13</f>
        <v>2746</v>
      </c>
      <c r="H13" s="246">
        <f>SUM(F13:G13)</f>
        <v>12240</v>
      </c>
      <c r="I13" s="247">
        <f>IFERROR(F13/C13,0)</f>
        <v>1.0815675552517658</v>
      </c>
      <c r="J13" s="247">
        <f t="shared" ref="J13:K13" si="0">IFERROR(G13/D13,0)</f>
        <v>0.98387674668577574</v>
      </c>
      <c r="K13" s="247">
        <f t="shared" si="0"/>
        <v>1.0579998271242113</v>
      </c>
      <c r="L13" s="32">
        <v>1779</v>
      </c>
      <c r="M13" s="33">
        <v>94</v>
      </c>
      <c r="N13" s="34">
        <v>523</v>
      </c>
      <c r="O13" s="35">
        <v>121</v>
      </c>
      <c r="P13" s="36">
        <f>4739-33</f>
        <v>4706</v>
      </c>
      <c r="Q13" s="37">
        <f>483+33</f>
        <v>516</v>
      </c>
      <c r="R13" s="34">
        <f>2856-370</f>
        <v>2486</v>
      </c>
      <c r="S13" s="35">
        <f>1645+370</f>
        <v>2015</v>
      </c>
      <c r="T13" s="38"/>
      <c r="U13" s="39"/>
      <c r="V13" s="38"/>
      <c r="W13" s="39"/>
      <c r="X13" s="38"/>
      <c r="Y13" s="40"/>
      <c r="Z13" s="38"/>
      <c r="AA13" s="41"/>
      <c r="AB13" s="458">
        <f>IFERROR(E13/$E$36,0)</f>
        <v>0.62038824538824544</v>
      </c>
      <c r="AC13" s="458">
        <f>IFERROR(H13/$H$36,0)</f>
        <v>0.63846434719106981</v>
      </c>
      <c r="AD13" s="116"/>
      <c r="AE13" s="487"/>
      <c r="AF13" s="487"/>
      <c r="AG13" s="487"/>
      <c r="AH13" s="487"/>
      <c r="AI13" s="487"/>
      <c r="AJ13" s="487"/>
      <c r="AK13" s="487"/>
      <c r="AL13" s="487"/>
      <c r="AM13" s="487"/>
      <c r="AN13" s="487"/>
      <c r="AO13" s="487"/>
      <c r="AP13" s="487"/>
      <c r="AQ13" s="487"/>
      <c r="AR13" s="487"/>
      <c r="AS13" s="487"/>
      <c r="AT13" s="487"/>
      <c r="AU13" s="487"/>
      <c r="AV13" s="487"/>
      <c r="AW13" s="487"/>
      <c r="AX13" s="487"/>
      <c r="AY13" s="487"/>
      <c r="AZ13" s="487"/>
      <c r="BA13" s="487"/>
      <c r="BB13" s="487"/>
      <c r="BC13" s="487"/>
      <c r="BD13" s="487"/>
      <c r="BE13" s="487"/>
      <c r="BF13" s="487"/>
      <c r="BG13" s="487"/>
      <c r="BH13" s="487"/>
      <c r="BI13" s="487"/>
      <c r="BJ13" s="487"/>
      <c r="BK13" s="487"/>
      <c r="BL13" s="487"/>
      <c r="BM13" s="487"/>
      <c r="BN13" s="487"/>
      <c r="BO13" s="487"/>
      <c r="BP13" s="487"/>
      <c r="BQ13" s="487"/>
      <c r="BR13" s="487"/>
      <c r="BS13" s="487"/>
      <c r="BT13" s="487"/>
      <c r="BU13" s="487"/>
      <c r="BV13" s="487"/>
      <c r="BW13" s="487"/>
      <c r="BX13" s="487"/>
      <c r="BY13" s="487"/>
      <c r="BZ13" s="487"/>
    </row>
    <row r="14" spans="1:122" s="488" customFormat="1" ht="62.25" customHeight="1" thickBot="1" x14ac:dyDescent="0.3">
      <c r="A14" s="748" t="s">
        <v>196</v>
      </c>
      <c r="B14" s="749"/>
      <c r="C14" s="489">
        <f>'2021-22 ERC'!F7</f>
        <v>773</v>
      </c>
      <c r="D14" s="489">
        <f>'2021-22 ERC'!G7</f>
        <v>1487</v>
      </c>
      <c r="E14" s="199">
        <f t="shared" ref="E14:E24" si="1">SUM(C14:D14)</f>
        <v>2260</v>
      </c>
      <c r="F14" s="246">
        <f>T14+V14+X14+Z14</f>
        <v>835</v>
      </c>
      <c r="G14" s="246">
        <f>U14+W14+Y14+AA14</f>
        <v>1087</v>
      </c>
      <c r="H14" s="246">
        <f t="shared" ref="H14" si="2">SUM(F14:G14)</f>
        <v>1922</v>
      </c>
      <c r="I14" s="247">
        <f t="shared" ref="I14:I26" si="3">IFERROR(F14/C14,0)</f>
        <v>1.0802069857697283</v>
      </c>
      <c r="J14" s="247">
        <f t="shared" ref="J14:J26" si="4">IFERROR(G14/D14,0)</f>
        <v>0.73100201748486882</v>
      </c>
      <c r="K14" s="247">
        <f t="shared" ref="K14:K26" si="5">IFERROR(H14/E14,0)</f>
        <v>0.85044247787610616</v>
      </c>
      <c r="L14" s="42"/>
      <c r="M14" s="43"/>
      <c r="N14" s="44"/>
      <c r="O14" s="43"/>
      <c r="P14" s="44"/>
      <c r="Q14" s="43"/>
      <c r="R14" s="44"/>
      <c r="S14" s="43"/>
      <c r="T14" s="32">
        <v>398</v>
      </c>
      <c r="U14" s="45">
        <v>51</v>
      </c>
      <c r="V14" s="46">
        <v>319</v>
      </c>
      <c r="W14" s="46">
        <v>918</v>
      </c>
      <c r="X14" s="46">
        <v>118</v>
      </c>
      <c r="Y14" s="46">
        <v>118</v>
      </c>
      <c r="Z14" s="46"/>
      <c r="AA14" s="35"/>
      <c r="AB14" s="458">
        <f t="shared" ref="AB14:AB35" si="6">IFERROR(E14/$E$36,0)</f>
        <v>0.1211926211926212</v>
      </c>
      <c r="AC14" s="458">
        <f t="shared" ref="AC14:AC35" si="7">IFERROR(H14/$H$36,0)</f>
        <v>0.1002555943873559</v>
      </c>
      <c r="AD14" s="116"/>
      <c r="AE14" s="487"/>
      <c r="AF14" s="487"/>
      <c r="AG14" s="487"/>
      <c r="AH14" s="487"/>
      <c r="AI14" s="487"/>
      <c r="AJ14" s="487"/>
      <c r="AK14" s="487"/>
      <c r="AL14" s="487"/>
      <c r="AM14" s="487"/>
      <c r="AN14" s="487"/>
      <c r="AO14" s="487"/>
      <c r="AP14" s="487"/>
      <c r="AQ14" s="487"/>
      <c r="AR14" s="487"/>
      <c r="AS14" s="487"/>
      <c r="AT14" s="487"/>
      <c r="AU14" s="487"/>
      <c r="AV14" s="487"/>
      <c r="AW14" s="487"/>
      <c r="AX14" s="487"/>
      <c r="AY14" s="487"/>
      <c r="AZ14" s="487"/>
      <c r="BA14" s="487"/>
      <c r="BB14" s="487"/>
      <c r="BC14" s="487"/>
      <c r="BD14" s="487"/>
      <c r="BE14" s="487"/>
      <c r="BF14" s="487"/>
      <c r="BG14" s="487"/>
      <c r="BH14" s="487"/>
      <c r="BI14" s="487"/>
      <c r="BJ14" s="487"/>
      <c r="BK14" s="487"/>
      <c r="BL14" s="487"/>
      <c r="BM14" s="487"/>
      <c r="BN14" s="487"/>
      <c r="BO14" s="487"/>
      <c r="BP14" s="487"/>
      <c r="BQ14" s="487"/>
      <c r="BR14" s="487"/>
      <c r="BS14" s="487"/>
      <c r="BT14" s="487"/>
      <c r="BU14" s="487"/>
      <c r="BV14" s="487"/>
      <c r="BW14" s="487"/>
      <c r="BX14" s="487"/>
      <c r="BY14" s="487"/>
      <c r="BZ14" s="487"/>
    </row>
    <row r="15" spans="1:122" s="488" customFormat="1" ht="15.75" customHeight="1" thickBot="1" x14ac:dyDescent="0.3">
      <c r="A15" s="750" t="s">
        <v>197</v>
      </c>
      <c r="B15" s="59" t="s">
        <v>198</v>
      </c>
      <c r="C15" s="489">
        <f>'2021-22 ERC'!F8</f>
        <v>1175</v>
      </c>
      <c r="D15" s="489">
        <f>'2021-22 ERC'!G8</f>
        <v>0</v>
      </c>
      <c r="E15" s="199">
        <f t="shared" si="1"/>
        <v>1175</v>
      </c>
      <c r="F15" s="246">
        <f>L15+N15+P15+R15+T15+V15+X15+Z15</f>
        <v>1761</v>
      </c>
      <c r="G15" s="246">
        <f>M15+O15+Q15+S15+U15+W15+Y15+AA15</f>
        <v>98</v>
      </c>
      <c r="H15" s="246">
        <f>SUM(F15:G15)</f>
        <v>1859</v>
      </c>
      <c r="I15" s="247">
        <f t="shared" si="3"/>
        <v>1.4987234042553192</v>
      </c>
      <c r="J15" s="247">
        <f t="shared" si="4"/>
        <v>0</v>
      </c>
      <c r="K15" s="247">
        <f t="shared" si="5"/>
        <v>1.582127659574468</v>
      </c>
      <c r="L15" s="32">
        <v>1005</v>
      </c>
      <c r="M15" s="33"/>
      <c r="N15" s="34">
        <v>34</v>
      </c>
      <c r="O15" s="35"/>
      <c r="P15" s="36">
        <v>379</v>
      </c>
      <c r="Q15" s="37">
        <v>9</v>
      </c>
      <c r="R15" s="34">
        <v>123</v>
      </c>
      <c r="S15" s="35">
        <v>84</v>
      </c>
      <c r="T15" s="32">
        <v>189</v>
      </c>
      <c r="U15" s="45"/>
      <c r="V15" s="46">
        <v>18</v>
      </c>
      <c r="W15" s="46">
        <v>5</v>
      </c>
      <c r="X15" s="46">
        <v>2</v>
      </c>
      <c r="Y15" s="46"/>
      <c r="Z15" s="46">
        <v>11</v>
      </c>
      <c r="AA15" s="35"/>
      <c r="AB15" s="458">
        <f t="shared" si="6"/>
        <v>6.3009438009438007E-2</v>
      </c>
      <c r="AC15" s="458">
        <f t="shared" si="7"/>
        <v>9.6969380835637164E-2</v>
      </c>
      <c r="AD15" s="116"/>
      <c r="AE15" s="487"/>
      <c r="AF15" s="487"/>
      <c r="AG15" s="487"/>
      <c r="AH15" s="487"/>
      <c r="AI15" s="487"/>
      <c r="AJ15" s="487"/>
      <c r="AK15" s="487"/>
      <c r="AL15" s="487"/>
      <c r="AM15" s="487"/>
      <c r="AN15" s="487"/>
      <c r="AO15" s="487"/>
      <c r="AP15" s="487"/>
      <c r="AQ15" s="487"/>
      <c r="AR15" s="487"/>
      <c r="AS15" s="487"/>
      <c r="AT15" s="487"/>
      <c r="AU15" s="487"/>
      <c r="AV15" s="487"/>
      <c r="AW15" s="487"/>
      <c r="AX15" s="487"/>
      <c r="AY15" s="487"/>
      <c r="AZ15" s="487"/>
      <c r="BA15" s="487"/>
      <c r="BB15" s="487"/>
      <c r="BC15" s="487"/>
      <c r="BD15" s="487"/>
      <c r="BE15" s="487"/>
      <c r="BF15" s="487"/>
      <c r="BG15" s="487"/>
      <c r="BH15" s="487"/>
      <c r="BI15" s="487"/>
      <c r="BJ15" s="487"/>
      <c r="BK15" s="487"/>
      <c r="BL15" s="487"/>
      <c r="BM15" s="487"/>
      <c r="BN15" s="487"/>
      <c r="BO15" s="487"/>
      <c r="BP15" s="487"/>
      <c r="BQ15" s="487"/>
      <c r="BR15" s="487"/>
      <c r="BS15" s="487"/>
      <c r="BT15" s="487"/>
      <c r="BU15" s="487"/>
      <c r="BV15" s="487"/>
      <c r="BW15" s="487"/>
      <c r="BX15" s="487"/>
      <c r="BY15" s="487"/>
      <c r="BZ15" s="487"/>
    </row>
    <row r="16" spans="1:122" s="488" customFormat="1" ht="37.5" customHeight="1" thickBot="1" x14ac:dyDescent="0.3">
      <c r="A16" s="751"/>
      <c r="B16" s="60" t="s">
        <v>199</v>
      </c>
      <c r="C16" s="489">
        <f>'2021-22 ERC'!F9</f>
        <v>437</v>
      </c>
      <c r="D16" s="489">
        <f>'2021-22 ERC'!G9</f>
        <v>0</v>
      </c>
      <c r="E16" s="199">
        <f t="shared" si="1"/>
        <v>437</v>
      </c>
      <c r="F16" s="246">
        <f>L16+N16+P16+R16+T16+V16+X16+Z16</f>
        <v>54</v>
      </c>
      <c r="G16" s="246">
        <f>M16+O16+Q16+S16+U16+W16+Y16+AA16</f>
        <v>0</v>
      </c>
      <c r="H16" s="246">
        <f>SUM(F16:G16)</f>
        <v>54</v>
      </c>
      <c r="I16" s="247">
        <f t="shared" si="3"/>
        <v>0.12356979405034325</v>
      </c>
      <c r="J16" s="247">
        <f t="shared" si="4"/>
        <v>0</v>
      </c>
      <c r="K16" s="247">
        <f t="shared" si="5"/>
        <v>0.12356979405034325</v>
      </c>
      <c r="L16" s="32">
        <v>53</v>
      </c>
      <c r="M16" s="33"/>
      <c r="N16" s="34"/>
      <c r="O16" s="35"/>
      <c r="P16" s="36">
        <v>1</v>
      </c>
      <c r="Q16" s="37"/>
      <c r="R16" s="34"/>
      <c r="S16" s="35"/>
      <c r="T16" s="32"/>
      <c r="U16" s="45"/>
      <c r="V16" s="46"/>
      <c r="W16" s="46"/>
      <c r="X16" s="46"/>
      <c r="Y16" s="46"/>
      <c r="Z16" s="46"/>
      <c r="AA16" s="35"/>
      <c r="AB16" s="458">
        <f t="shared" si="6"/>
        <v>2.3434148434148434E-2</v>
      </c>
      <c r="AC16" s="458">
        <f t="shared" si="7"/>
        <v>2.8167544729017788E-3</v>
      </c>
      <c r="AD16" s="116"/>
      <c r="AE16" s="487"/>
      <c r="AF16" s="487"/>
      <c r="AG16" s="487"/>
      <c r="AH16" s="487"/>
      <c r="AI16" s="487"/>
      <c r="AJ16" s="487"/>
      <c r="AK16" s="487"/>
      <c r="AL16" s="487"/>
      <c r="AM16" s="487"/>
      <c r="AN16" s="487"/>
      <c r="AO16" s="487"/>
      <c r="AP16" s="487"/>
      <c r="AQ16" s="487"/>
      <c r="AR16" s="487"/>
      <c r="AS16" s="487"/>
      <c r="AT16" s="487"/>
      <c r="AU16" s="487"/>
      <c r="AV16" s="487"/>
      <c r="AW16" s="487"/>
      <c r="AX16" s="487"/>
      <c r="AY16" s="487"/>
      <c r="AZ16" s="487"/>
      <c r="BA16" s="487"/>
      <c r="BB16" s="487"/>
      <c r="BC16" s="487"/>
      <c r="BD16" s="487"/>
      <c r="BE16" s="487"/>
      <c r="BF16" s="487"/>
      <c r="BG16" s="487"/>
      <c r="BH16" s="487"/>
      <c r="BI16" s="487"/>
      <c r="BJ16" s="487"/>
      <c r="BK16" s="487"/>
      <c r="BL16" s="487"/>
      <c r="BM16" s="487"/>
      <c r="BN16" s="487"/>
      <c r="BO16" s="487"/>
      <c r="BP16" s="487"/>
      <c r="BQ16" s="487"/>
      <c r="BR16" s="487"/>
      <c r="BS16" s="487"/>
      <c r="BT16" s="487"/>
      <c r="BU16" s="487"/>
      <c r="BV16" s="487"/>
      <c r="BW16" s="487"/>
      <c r="BX16" s="487"/>
      <c r="BY16" s="487"/>
      <c r="BZ16" s="487"/>
    </row>
    <row r="17" spans="1:120" s="488" customFormat="1" ht="15.75" customHeight="1" thickBot="1" x14ac:dyDescent="0.3">
      <c r="A17" s="752" t="s">
        <v>200</v>
      </c>
      <c r="B17" s="47" t="s">
        <v>201</v>
      </c>
      <c r="C17" s="489">
        <f>'2021-22 ERC'!F10</f>
        <v>0</v>
      </c>
      <c r="D17" s="489">
        <f>'2021-22 ERC'!G10</f>
        <v>0</v>
      </c>
      <c r="E17" s="199">
        <f t="shared" si="1"/>
        <v>0</v>
      </c>
      <c r="F17" s="246">
        <f t="shared" ref="F17:G21" si="8">L17+N17+P17+R17+T17+V17+X17+Z17</f>
        <v>0</v>
      </c>
      <c r="G17" s="246">
        <f t="shared" si="8"/>
        <v>0</v>
      </c>
      <c r="H17" s="246">
        <f>SUM(F17:G17)</f>
        <v>0</v>
      </c>
      <c r="I17" s="247">
        <f t="shared" si="3"/>
        <v>0</v>
      </c>
      <c r="J17" s="247">
        <f t="shared" si="4"/>
        <v>0</v>
      </c>
      <c r="K17" s="247">
        <f t="shared" si="5"/>
        <v>0</v>
      </c>
      <c r="L17" s="32"/>
      <c r="M17" s="33"/>
      <c r="N17" s="34"/>
      <c r="O17" s="35"/>
      <c r="P17" s="36"/>
      <c r="Q17" s="37"/>
      <c r="R17" s="34"/>
      <c r="S17" s="35"/>
      <c r="T17" s="32"/>
      <c r="U17" s="45"/>
      <c r="V17" s="46"/>
      <c r="W17" s="46"/>
      <c r="X17" s="46"/>
      <c r="Y17" s="46"/>
      <c r="Z17" s="46"/>
      <c r="AA17" s="35"/>
      <c r="AB17" s="458">
        <f t="shared" si="6"/>
        <v>0</v>
      </c>
      <c r="AC17" s="458">
        <f t="shared" si="7"/>
        <v>0</v>
      </c>
      <c r="AD17" s="116"/>
      <c r="AE17" s="487"/>
      <c r="AF17" s="487"/>
      <c r="AG17" s="487"/>
      <c r="AH17" s="487"/>
      <c r="AI17" s="487"/>
      <c r="AJ17" s="487"/>
      <c r="AK17" s="487"/>
      <c r="AL17" s="487"/>
      <c r="AM17" s="487"/>
      <c r="AN17" s="487"/>
      <c r="AO17" s="487"/>
      <c r="AP17" s="487"/>
      <c r="AQ17" s="487"/>
      <c r="AR17" s="487"/>
      <c r="AS17" s="487"/>
      <c r="AT17" s="487"/>
      <c r="AU17" s="487"/>
      <c r="AV17" s="487"/>
      <c r="AW17" s="487"/>
      <c r="AX17" s="487"/>
      <c r="AY17" s="487"/>
      <c r="AZ17" s="487"/>
      <c r="BA17" s="487"/>
      <c r="BB17" s="487"/>
      <c r="BC17" s="487"/>
      <c r="BD17" s="487"/>
      <c r="BE17" s="487"/>
      <c r="BF17" s="487"/>
      <c r="BG17" s="487"/>
      <c r="BH17" s="487"/>
      <c r="BI17" s="487"/>
      <c r="BJ17" s="487"/>
      <c r="BK17" s="487"/>
      <c r="BL17" s="487"/>
      <c r="BM17" s="487"/>
      <c r="BN17" s="487"/>
      <c r="BO17" s="487"/>
      <c r="BP17" s="487"/>
      <c r="BQ17" s="487"/>
      <c r="BR17" s="487"/>
      <c r="BS17" s="487"/>
      <c r="BT17" s="487"/>
      <c r="BU17" s="487"/>
      <c r="BV17" s="487"/>
      <c r="BW17" s="487"/>
      <c r="BX17" s="487"/>
      <c r="BY17" s="487"/>
      <c r="BZ17" s="487"/>
    </row>
    <row r="18" spans="1:120" s="488" customFormat="1" ht="30.75" thickBot="1" x14ac:dyDescent="0.3">
      <c r="A18" s="753"/>
      <c r="B18" s="48" t="s">
        <v>133</v>
      </c>
      <c r="C18" s="489">
        <f>'2021-22 ERC'!F11</f>
        <v>0</v>
      </c>
      <c r="D18" s="489">
        <f>'2021-22 ERC'!G11</f>
        <v>0</v>
      </c>
      <c r="E18" s="199">
        <f t="shared" si="1"/>
        <v>0</v>
      </c>
      <c r="F18" s="246">
        <f t="shared" si="8"/>
        <v>0</v>
      </c>
      <c r="G18" s="246">
        <f t="shared" si="8"/>
        <v>0</v>
      </c>
      <c r="H18" s="246">
        <f t="shared" ref="H18" si="9">SUM(F18:G18)</f>
        <v>0</v>
      </c>
      <c r="I18" s="247">
        <f t="shared" si="3"/>
        <v>0</v>
      </c>
      <c r="J18" s="247">
        <f t="shared" si="4"/>
        <v>0</v>
      </c>
      <c r="K18" s="247">
        <f t="shared" si="5"/>
        <v>0</v>
      </c>
      <c r="L18" s="32"/>
      <c r="M18" s="33"/>
      <c r="N18" s="34"/>
      <c r="O18" s="35"/>
      <c r="P18" s="36"/>
      <c r="Q18" s="37"/>
      <c r="R18" s="34"/>
      <c r="S18" s="35"/>
      <c r="T18" s="32"/>
      <c r="U18" s="45"/>
      <c r="V18" s="46"/>
      <c r="W18" s="46"/>
      <c r="X18" s="46"/>
      <c r="Y18" s="46"/>
      <c r="Z18" s="46"/>
      <c r="AA18" s="35"/>
      <c r="AB18" s="458">
        <f t="shared" si="6"/>
        <v>0</v>
      </c>
      <c r="AC18" s="458">
        <f t="shared" si="7"/>
        <v>0</v>
      </c>
      <c r="AD18" s="116"/>
      <c r="AE18" s="487"/>
      <c r="AF18" s="487"/>
      <c r="AG18" s="487"/>
      <c r="AH18" s="487"/>
      <c r="AI18" s="487"/>
      <c r="AJ18" s="487"/>
      <c r="AK18" s="487"/>
      <c r="AL18" s="487"/>
      <c r="AM18" s="487"/>
      <c r="AN18" s="487"/>
      <c r="AO18" s="487"/>
      <c r="AP18" s="487"/>
      <c r="AQ18" s="487"/>
      <c r="AR18" s="487"/>
      <c r="AS18" s="487"/>
      <c r="AT18" s="487"/>
      <c r="AU18" s="487"/>
      <c r="AV18" s="487"/>
      <c r="AW18" s="487"/>
      <c r="AX18" s="487"/>
      <c r="AY18" s="487"/>
      <c r="AZ18" s="487"/>
      <c r="BA18" s="487"/>
      <c r="BB18" s="487"/>
      <c r="BC18" s="487"/>
      <c r="BD18" s="487"/>
      <c r="BE18" s="487"/>
      <c r="BF18" s="487"/>
      <c r="BG18" s="487"/>
      <c r="BH18" s="487"/>
      <c r="BI18" s="487"/>
      <c r="BJ18" s="487"/>
      <c r="BK18" s="487"/>
      <c r="BL18" s="487"/>
      <c r="BM18" s="487"/>
      <c r="BN18" s="487"/>
      <c r="BO18" s="487"/>
      <c r="BP18" s="487"/>
      <c r="BQ18" s="487"/>
      <c r="BR18" s="487"/>
      <c r="BS18" s="487"/>
      <c r="BT18" s="487"/>
      <c r="BU18" s="487"/>
      <c r="BV18" s="487"/>
      <c r="BW18" s="487"/>
      <c r="BX18" s="487"/>
      <c r="BY18" s="487"/>
      <c r="BZ18" s="487"/>
    </row>
    <row r="19" spans="1:120" s="488" customFormat="1" ht="15.75" thickBot="1" x14ac:dyDescent="0.3">
      <c r="A19" s="753"/>
      <c r="B19" s="49" t="s">
        <v>202</v>
      </c>
      <c r="C19" s="489">
        <f>'2021-22 ERC'!F12</f>
        <v>400</v>
      </c>
      <c r="D19" s="489">
        <f>'2021-22 ERC'!G12</f>
        <v>0</v>
      </c>
      <c r="E19" s="199">
        <f t="shared" si="1"/>
        <v>400</v>
      </c>
      <c r="F19" s="246">
        <f t="shared" si="8"/>
        <v>386</v>
      </c>
      <c r="G19" s="246">
        <f t="shared" si="8"/>
        <v>0</v>
      </c>
      <c r="H19" s="246">
        <f>SUM(F19:G19)</f>
        <v>386</v>
      </c>
      <c r="I19" s="247">
        <f t="shared" si="3"/>
        <v>0.96499999999999997</v>
      </c>
      <c r="J19" s="247">
        <f t="shared" si="4"/>
        <v>0</v>
      </c>
      <c r="K19" s="247">
        <f t="shared" si="5"/>
        <v>0.96499999999999997</v>
      </c>
      <c r="L19" s="32">
        <v>386</v>
      </c>
      <c r="M19" s="33"/>
      <c r="N19" s="34"/>
      <c r="O19" s="35"/>
      <c r="P19" s="36"/>
      <c r="Q19" s="37"/>
      <c r="R19" s="34"/>
      <c r="S19" s="35"/>
      <c r="T19" s="32"/>
      <c r="U19" s="45"/>
      <c r="V19" s="46"/>
      <c r="W19" s="46"/>
      <c r="X19" s="46"/>
      <c r="Y19" s="46"/>
      <c r="Z19" s="46"/>
      <c r="AA19" s="35"/>
      <c r="AB19" s="458">
        <f t="shared" si="6"/>
        <v>2.145002145002145E-2</v>
      </c>
      <c r="AC19" s="458">
        <f t="shared" si="7"/>
        <v>2.0134578269260864E-2</v>
      </c>
      <c r="AD19" s="116"/>
      <c r="AE19" s="487"/>
      <c r="AF19" s="487"/>
      <c r="AG19" s="487"/>
      <c r="AH19" s="487"/>
      <c r="AI19" s="487"/>
      <c r="AJ19" s="487"/>
      <c r="AK19" s="487"/>
      <c r="AL19" s="487"/>
      <c r="AM19" s="487"/>
      <c r="AN19" s="487"/>
      <c r="AO19" s="487"/>
      <c r="AP19" s="487"/>
      <c r="AQ19" s="487"/>
      <c r="AR19" s="487"/>
      <c r="AS19" s="487"/>
      <c r="AT19" s="487"/>
      <c r="AU19" s="487"/>
      <c r="AV19" s="487"/>
      <c r="AW19" s="487"/>
      <c r="AX19" s="487"/>
      <c r="AY19" s="487"/>
      <c r="AZ19" s="487"/>
      <c r="BA19" s="487"/>
      <c r="BB19" s="487"/>
      <c r="BC19" s="487"/>
      <c r="BD19" s="487"/>
      <c r="BE19" s="487"/>
      <c r="BF19" s="487"/>
      <c r="BG19" s="487"/>
      <c r="BH19" s="487"/>
      <c r="BI19" s="487"/>
      <c r="BJ19" s="487"/>
      <c r="BK19" s="487"/>
      <c r="BL19" s="487"/>
      <c r="BM19" s="487"/>
      <c r="BN19" s="487"/>
      <c r="BO19" s="487"/>
      <c r="BP19" s="487"/>
      <c r="BQ19" s="487"/>
      <c r="BR19" s="487"/>
      <c r="BS19" s="487"/>
      <c r="BT19" s="487"/>
      <c r="BU19" s="487"/>
      <c r="BV19" s="487"/>
      <c r="BW19" s="487"/>
      <c r="BX19" s="487"/>
      <c r="BY19" s="487"/>
      <c r="BZ19" s="487"/>
    </row>
    <row r="20" spans="1:120" s="488" customFormat="1" ht="15.75" thickBot="1" x14ac:dyDescent="0.3">
      <c r="A20" s="753"/>
      <c r="B20" s="50" t="s">
        <v>135</v>
      </c>
      <c r="C20" s="489">
        <f>'2021-22 ERC'!F13</f>
        <v>0</v>
      </c>
      <c r="D20" s="489">
        <f>'2021-22 ERC'!G13</f>
        <v>0</v>
      </c>
      <c r="E20" s="199">
        <f t="shared" si="1"/>
        <v>0</v>
      </c>
      <c r="F20" s="246">
        <f t="shared" si="8"/>
        <v>0</v>
      </c>
      <c r="G20" s="246">
        <f t="shared" si="8"/>
        <v>0</v>
      </c>
      <c r="H20" s="246">
        <f t="shared" ref="H20:H22" si="10">SUM(F20:G20)</f>
        <v>0</v>
      </c>
      <c r="I20" s="247">
        <f t="shared" si="3"/>
        <v>0</v>
      </c>
      <c r="J20" s="247">
        <f t="shared" si="4"/>
        <v>0</v>
      </c>
      <c r="K20" s="247">
        <f t="shared" si="5"/>
        <v>0</v>
      </c>
      <c r="L20" s="32"/>
      <c r="M20" s="33"/>
      <c r="N20" s="34"/>
      <c r="O20" s="35"/>
      <c r="P20" s="36"/>
      <c r="Q20" s="37"/>
      <c r="R20" s="34"/>
      <c r="S20" s="35"/>
      <c r="T20" s="32"/>
      <c r="U20" s="45"/>
      <c r="V20" s="46"/>
      <c r="W20" s="46"/>
      <c r="X20" s="46"/>
      <c r="Y20" s="46"/>
      <c r="Z20" s="46"/>
      <c r="AA20" s="35"/>
      <c r="AB20" s="458">
        <f t="shared" si="6"/>
        <v>0</v>
      </c>
      <c r="AC20" s="458">
        <f t="shared" si="7"/>
        <v>0</v>
      </c>
      <c r="AD20" s="116"/>
      <c r="AE20" s="487"/>
      <c r="AF20" s="487"/>
      <c r="AG20" s="487"/>
      <c r="AH20" s="487"/>
      <c r="AI20" s="487"/>
      <c r="AJ20" s="487"/>
      <c r="AK20" s="487"/>
      <c r="AL20" s="487"/>
      <c r="AM20" s="487"/>
      <c r="AN20" s="487"/>
      <c r="AO20" s="487"/>
      <c r="AP20" s="487"/>
      <c r="AQ20" s="487"/>
      <c r="AR20" s="487"/>
      <c r="AS20" s="487"/>
      <c r="AT20" s="487"/>
      <c r="AU20" s="487"/>
      <c r="AV20" s="487"/>
      <c r="AW20" s="487"/>
      <c r="AX20" s="487"/>
      <c r="AY20" s="487"/>
      <c r="AZ20" s="487"/>
      <c r="BA20" s="487"/>
      <c r="BB20" s="487"/>
      <c r="BC20" s="487"/>
      <c r="BD20" s="487"/>
      <c r="BE20" s="487"/>
      <c r="BF20" s="487"/>
      <c r="BG20" s="487"/>
      <c r="BH20" s="487"/>
      <c r="BI20" s="487"/>
      <c r="BJ20" s="487"/>
      <c r="BK20" s="487"/>
      <c r="BL20" s="487"/>
      <c r="BM20" s="487"/>
      <c r="BN20" s="487"/>
      <c r="BO20" s="487"/>
      <c r="BP20" s="487"/>
      <c r="BQ20" s="487"/>
      <c r="BR20" s="487"/>
      <c r="BS20" s="487"/>
      <c r="BT20" s="487"/>
      <c r="BU20" s="487"/>
      <c r="BV20" s="487"/>
      <c r="BW20" s="487"/>
      <c r="BX20" s="487"/>
      <c r="BY20" s="487"/>
      <c r="BZ20" s="487"/>
    </row>
    <row r="21" spans="1:120" s="488" customFormat="1" ht="15.75" thickBot="1" x14ac:dyDescent="0.3">
      <c r="A21" s="753"/>
      <c r="B21" s="50" t="s">
        <v>203</v>
      </c>
      <c r="C21" s="489">
        <f>'2021-22 ERC'!F14</f>
        <v>300</v>
      </c>
      <c r="D21" s="489">
        <f>'2021-22 ERC'!G14</f>
        <v>0</v>
      </c>
      <c r="E21" s="199">
        <f t="shared" si="1"/>
        <v>300</v>
      </c>
      <c r="F21" s="246">
        <f t="shared" si="8"/>
        <v>278</v>
      </c>
      <c r="G21" s="246">
        <f t="shared" si="8"/>
        <v>3</v>
      </c>
      <c r="H21" s="246">
        <f t="shared" si="10"/>
        <v>281</v>
      </c>
      <c r="I21" s="247">
        <f t="shared" si="3"/>
        <v>0.92666666666666664</v>
      </c>
      <c r="J21" s="247">
        <f t="shared" si="4"/>
        <v>0</v>
      </c>
      <c r="K21" s="247">
        <f t="shared" si="5"/>
        <v>0.93666666666666665</v>
      </c>
      <c r="L21" s="32">
        <v>4</v>
      </c>
      <c r="M21" s="33"/>
      <c r="N21" s="34"/>
      <c r="O21" s="35"/>
      <c r="P21" s="36">
        <v>76</v>
      </c>
      <c r="Q21" s="37"/>
      <c r="R21" s="34">
        <v>91</v>
      </c>
      <c r="S21" s="35">
        <v>3</v>
      </c>
      <c r="T21" s="32">
        <v>37</v>
      </c>
      <c r="U21" s="45"/>
      <c r="V21" s="46">
        <v>39</v>
      </c>
      <c r="W21" s="46"/>
      <c r="X21" s="46">
        <v>29</v>
      </c>
      <c r="Y21" s="46"/>
      <c r="Z21" s="46">
        <v>2</v>
      </c>
      <c r="AA21" s="35"/>
      <c r="AB21" s="458">
        <f t="shared" si="6"/>
        <v>1.6087516087516088E-2</v>
      </c>
      <c r="AC21" s="458">
        <f t="shared" si="7"/>
        <v>1.465755568306296E-2</v>
      </c>
      <c r="AD21" s="116"/>
      <c r="AE21" s="487"/>
      <c r="AF21" s="487"/>
      <c r="AG21" s="487"/>
      <c r="AH21" s="487"/>
      <c r="AI21" s="487"/>
      <c r="AJ21" s="487"/>
      <c r="AK21" s="487"/>
      <c r="AL21" s="487"/>
      <c r="AM21" s="487"/>
      <c r="AN21" s="487"/>
      <c r="AO21" s="487"/>
      <c r="AP21" s="487"/>
      <c r="AQ21" s="487"/>
      <c r="AR21" s="487"/>
      <c r="AS21" s="487"/>
      <c r="AT21" s="487"/>
      <c r="AU21" s="487"/>
      <c r="AV21" s="487"/>
      <c r="AW21" s="487"/>
      <c r="AX21" s="487"/>
      <c r="AY21" s="487"/>
      <c r="AZ21" s="487"/>
      <c r="BA21" s="487"/>
      <c r="BB21" s="487"/>
      <c r="BC21" s="487"/>
      <c r="BD21" s="487"/>
      <c r="BE21" s="487"/>
      <c r="BF21" s="487"/>
      <c r="BG21" s="487"/>
      <c r="BH21" s="487"/>
      <c r="BI21" s="487"/>
      <c r="BJ21" s="487"/>
      <c r="BK21" s="487"/>
      <c r="BL21" s="487"/>
      <c r="BM21" s="487"/>
      <c r="BN21" s="487"/>
      <c r="BO21" s="487"/>
      <c r="BP21" s="487"/>
      <c r="BQ21" s="487"/>
      <c r="BR21" s="487"/>
      <c r="BS21" s="487"/>
      <c r="BT21" s="487"/>
      <c r="BU21" s="487"/>
      <c r="BV21" s="487"/>
      <c r="BW21" s="487"/>
      <c r="BX21" s="487"/>
      <c r="BY21" s="487"/>
      <c r="BZ21" s="487"/>
    </row>
    <row r="22" spans="1:120" s="488" customFormat="1" ht="15.75" thickBot="1" x14ac:dyDescent="0.3">
      <c r="A22" s="754" t="s">
        <v>204</v>
      </c>
      <c r="B22" s="755"/>
      <c r="C22" s="489">
        <f>'2021-22 ERC'!F15</f>
        <v>317</v>
      </c>
      <c r="D22" s="489">
        <f>'2021-22 ERC'!G15</f>
        <v>0</v>
      </c>
      <c r="E22" s="199">
        <f t="shared" si="1"/>
        <v>317</v>
      </c>
      <c r="F22" s="246">
        <f>L22+N22+P22+R22</f>
        <v>293</v>
      </c>
      <c r="G22" s="246">
        <f>M22+O22+Q22+S22</f>
        <v>8</v>
      </c>
      <c r="H22" s="246">
        <f t="shared" si="10"/>
        <v>301</v>
      </c>
      <c r="I22" s="247">
        <f t="shared" si="3"/>
        <v>0.9242902208201893</v>
      </c>
      <c r="J22" s="247">
        <f t="shared" si="4"/>
        <v>0</v>
      </c>
      <c r="K22" s="247">
        <f t="shared" si="5"/>
        <v>0.94952681388012616</v>
      </c>
      <c r="L22" s="51">
        <v>82</v>
      </c>
      <c r="M22" s="52"/>
      <c r="N22" s="53">
        <v>17</v>
      </c>
      <c r="O22" s="54"/>
      <c r="P22" s="53">
        <v>14</v>
      </c>
      <c r="Q22" s="54"/>
      <c r="R22" s="53">
        <v>180</v>
      </c>
      <c r="S22" s="54">
        <v>8</v>
      </c>
      <c r="T22" s="55"/>
      <c r="U22" s="56"/>
      <c r="V22" s="55"/>
      <c r="W22" s="56"/>
      <c r="X22" s="55"/>
      <c r="Y22" s="57"/>
      <c r="Z22" s="55"/>
      <c r="AA22" s="58"/>
      <c r="AB22" s="458">
        <f t="shared" si="6"/>
        <v>1.6999141999142001E-2</v>
      </c>
      <c r="AC22" s="458">
        <f t="shared" si="7"/>
        <v>1.5700798080433988E-2</v>
      </c>
      <c r="AD22" s="116"/>
      <c r="AE22" s="487"/>
      <c r="AF22" s="487"/>
      <c r="AG22" s="487"/>
      <c r="AH22" s="487"/>
      <c r="AI22" s="487"/>
      <c r="AJ22" s="487"/>
      <c r="AK22" s="487"/>
      <c r="AL22" s="487"/>
      <c r="AM22" s="487"/>
      <c r="AN22" s="487"/>
      <c r="AO22" s="487"/>
      <c r="AP22" s="487"/>
      <c r="AQ22" s="487"/>
      <c r="AR22" s="487"/>
      <c r="AS22" s="487"/>
      <c r="AT22" s="487"/>
      <c r="AU22" s="487"/>
      <c r="AV22" s="487"/>
      <c r="AW22" s="487"/>
      <c r="AX22" s="487"/>
      <c r="AY22" s="487"/>
      <c r="AZ22" s="487"/>
      <c r="BA22" s="487"/>
      <c r="BB22" s="487"/>
      <c r="BC22" s="487"/>
      <c r="BD22" s="487"/>
      <c r="BE22" s="487"/>
      <c r="BF22" s="487"/>
      <c r="BG22" s="487"/>
      <c r="BH22" s="487"/>
      <c r="BI22" s="487"/>
      <c r="BJ22" s="487"/>
      <c r="BK22" s="487"/>
      <c r="BL22" s="487"/>
      <c r="BM22" s="487"/>
      <c r="BN22" s="487"/>
      <c r="BO22" s="487"/>
      <c r="BP22" s="487"/>
      <c r="BQ22" s="487"/>
      <c r="BR22" s="487"/>
      <c r="BS22" s="487"/>
      <c r="BT22" s="487"/>
      <c r="BU22" s="487"/>
      <c r="BV22" s="487"/>
      <c r="BW22" s="487"/>
      <c r="BX22" s="487"/>
      <c r="BY22" s="487"/>
      <c r="BZ22" s="487"/>
    </row>
    <row r="23" spans="1:120" s="488" customFormat="1" ht="15.75" thickBot="1" x14ac:dyDescent="0.3">
      <c r="A23" s="756" t="s">
        <v>205</v>
      </c>
      <c r="B23" s="59" t="s">
        <v>206</v>
      </c>
      <c r="C23" s="489">
        <f>'2021-22 ERC'!F16</f>
        <v>77</v>
      </c>
      <c r="D23" s="489">
        <f>'2021-22 ERC'!G16</f>
        <v>0</v>
      </c>
      <c r="E23" s="199">
        <f t="shared" si="1"/>
        <v>77</v>
      </c>
      <c r="F23" s="246">
        <f t="shared" ref="F23:G26" si="11">L23+N23+P23+R23+T23+V23+X23+Z23</f>
        <v>67</v>
      </c>
      <c r="G23" s="246">
        <f t="shared" si="11"/>
        <v>14</v>
      </c>
      <c r="H23" s="246">
        <f>SUM(F23:G23)</f>
        <v>81</v>
      </c>
      <c r="I23" s="247">
        <f t="shared" si="3"/>
        <v>0.87012987012987009</v>
      </c>
      <c r="J23" s="247">
        <f t="shared" si="4"/>
        <v>0</v>
      </c>
      <c r="K23" s="247">
        <f t="shared" si="5"/>
        <v>1.051948051948052</v>
      </c>
      <c r="L23" s="34">
        <v>21</v>
      </c>
      <c r="M23" s="46"/>
      <c r="N23" s="34">
        <v>36</v>
      </c>
      <c r="O23" s="46">
        <v>14</v>
      </c>
      <c r="P23" s="34">
        <v>10</v>
      </c>
      <c r="Q23" s="37"/>
      <c r="R23" s="34"/>
      <c r="S23" s="35"/>
      <c r="T23" s="34"/>
      <c r="U23" s="46"/>
      <c r="V23" s="34"/>
      <c r="W23" s="46"/>
      <c r="X23" s="34"/>
      <c r="Y23" s="37"/>
      <c r="Z23" s="34"/>
      <c r="AA23" s="35"/>
      <c r="AB23" s="458">
        <f t="shared" si="6"/>
        <v>4.1291291291291289E-3</v>
      </c>
      <c r="AC23" s="458">
        <f t="shared" si="7"/>
        <v>4.2251317093526678E-3</v>
      </c>
      <c r="AD23" s="116"/>
      <c r="AE23" s="487"/>
      <c r="AF23" s="487"/>
      <c r="AG23" s="487"/>
      <c r="AH23" s="487"/>
      <c r="AI23" s="487"/>
      <c r="AJ23" s="487"/>
      <c r="AK23" s="487"/>
      <c r="AL23" s="487"/>
      <c r="AM23" s="487"/>
      <c r="AN23" s="487"/>
      <c r="AO23" s="487"/>
      <c r="AP23" s="487"/>
      <c r="AQ23" s="487"/>
      <c r="AR23" s="487"/>
      <c r="AS23" s="487"/>
      <c r="AT23" s="487"/>
      <c r="AU23" s="487"/>
      <c r="AV23" s="487"/>
      <c r="AW23" s="487"/>
      <c r="AX23" s="487"/>
      <c r="AY23" s="487"/>
      <c r="AZ23" s="487"/>
      <c r="BA23" s="487"/>
      <c r="BB23" s="487"/>
      <c r="BC23" s="487"/>
      <c r="BD23" s="487"/>
      <c r="BE23" s="487"/>
      <c r="BF23" s="487"/>
      <c r="BG23" s="487"/>
      <c r="BH23" s="487"/>
      <c r="BI23" s="487"/>
      <c r="BJ23" s="487"/>
      <c r="BK23" s="487"/>
      <c r="BL23" s="487"/>
      <c r="BM23" s="487"/>
      <c r="BN23" s="487"/>
      <c r="BO23" s="487"/>
      <c r="BP23" s="487"/>
      <c r="BQ23" s="487"/>
      <c r="BR23" s="487"/>
      <c r="BS23" s="487"/>
      <c r="BT23" s="487"/>
      <c r="BU23" s="487"/>
      <c r="BV23" s="487"/>
      <c r="BW23" s="487"/>
      <c r="BX23" s="487"/>
      <c r="BY23" s="487"/>
      <c r="BZ23" s="487"/>
    </row>
    <row r="24" spans="1:120" s="488" customFormat="1" ht="15.75" thickBot="1" x14ac:dyDescent="0.3">
      <c r="A24" s="753"/>
      <c r="B24" s="59" t="s">
        <v>140</v>
      </c>
      <c r="C24" s="489">
        <f>'2021-22 ERC'!F17</f>
        <v>45</v>
      </c>
      <c r="D24" s="489">
        <f>'2021-22 ERC'!G17</f>
        <v>0</v>
      </c>
      <c r="E24" s="199">
        <f t="shared" si="1"/>
        <v>45</v>
      </c>
      <c r="F24" s="246">
        <f t="shared" si="11"/>
        <v>167</v>
      </c>
      <c r="G24" s="246">
        <f t="shared" si="11"/>
        <v>0</v>
      </c>
      <c r="H24" s="246">
        <f t="shared" ref="H24:H26" si="12">SUM(F24:G24)</f>
        <v>167</v>
      </c>
      <c r="I24" s="247">
        <f t="shared" si="3"/>
        <v>3.7111111111111112</v>
      </c>
      <c r="J24" s="247">
        <f t="shared" si="4"/>
        <v>0</v>
      </c>
      <c r="K24" s="247">
        <f t="shared" si="5"/>
        <v>3.7111111111111112</v>
      </c>
      <c r="L24" s="34">
        <v>98</v>
      </c>
      <c r="M24" s="46"/>
      <c r="N24" s="34"/>
      <c r="O24" s="46"/>
      <c r="P24" s="34">
        <v>67</v>
      </c>
      <c r="Q24" s="37"/>
      <c r="R24" s="34">
        <v>2</v>
      </c>
      <c r="S24" s="35"/>
      <c r="T24" s="34"/>
      <c r="U24" s="46"/>
      <c r="V24" s="34"/>
      <c r="W24" s="46"/>
      <c r="X24" s="34"/>
      <c r="Y24" s="37"/>
      <c r="Z24" s="34"/>
      <c r="AA24" s="35"/>
      <c r="AB24" s="458">
        <f t="shared" si="6"/>
        <v>2.4131274131274131E-3</v>
      </c>
      <c r="AC24" s="458">
        <f t="shared" si="7"/>
        <v>8.7110740180480935E-3</v>
      </c>
      <c r="AD24" s="116"/>
      <c r="AE24" s="487"/>
      <c r="AF24" s="487"/>
      <c r="AG24" s="487"/>
      <c r="AH24" s="487"/>
      <c r="AI24" s="487"/>
      <c r="AJ24" s="487"/>
      <c r="AK24" s="487"/>
      <c r="AL24" s="487"/>
      <c r="AM24" s="487"/>
      <c r="AN24" s="487"/>
      <c r="AO24" s="487"/>
      <c r="AP24" s="487"/>
      <c r="AQ24" s="487"/>
      <c r="AR24" s="487"/>
      <c r="AS24" s="487"/>
      <c r="AT24" s="487"/>
      <c r="AU24" s="487"/>
      <c r="AV24" s="487"/>
      <c r="AW24" s="487"/>
      <c r="AX24" s="487"/>
      <c r="AY24" s="487"/>
      <c r="AZ24" s="487"/>
      <c r="BA24" s="487"/>
      <c r="BB24" s="487"/>
      <c r="BC24" s="487"/>
      <c r="BD24" s="487"/>
      <c r="BE24" s="487"/>
      <c r="BF24" s="487"/>
      <c r="BG24" s="487"/>
      <c r="BH24" s="487"/>
      <c r="BI24" s="487"/>
      <c r="BJ24" s="487"/>
      <c r="BK24" s="487"/>
      <c r="BL24" s="487"/>
      <c r="BM24" s="487"/>
      <c r="BN24" s="487"/>
      <c r="BO24" s="487"/>
      <c r="BP24" s="487"/>
      <c r="BQ24" s="487"/>
      <c r="BR24" s="487"/>
      <c r="BS24" s="487"/>
      <c r="BT24" s="487"/>
      <c r="BU24" s="487"/>
      <c r="BV24" s="487"/>
      <c r="BW24" s="487"/>
      <c r="BX24" s="487"/>
      <c r="BY24" s="487"/>
      <c r="BZ24" s="487"/>
    </row>
    <row r="25" spans="1:120" s="488" customFormat="1" ht="15.75" thickBot="1" x14ac:dyDescent="0.3">
      <c r="A25" s="753"/>
      <c r="B25" s="50" t="s">
        <v>141</v>
      </c>
      <c r="C25" s="489">
        <f>'2021-22 ERC'!F18</f>
        <v>0</v>
      </c>
      <c r="D25" s="489">
        <f>'2021-22 ERC'!G18</f>
        <v>0</v>
      </c>
      <c r="E25" s="199">
        <f t="shared" ref="E25" si="13">SUM(C25:D25)</f>
        <v>0</v>
      </c>
      <c r="F25" s="246">
        <f t="shared" si="11"/>
        <v>37</v>
      </c>
      <c r="G25" s="246">
        <f t="shared" si="11"/>
        <v>0</v>
      </c>
      <c r="H25" s="246">
        <f t="shared" si="12"/>
        <v>37</v>
      </c>
      <c r="I25" s="247">
        <f t="shared" si="3"/>
        <v>0</v>
      </c>
      <c r="J25" s="247">
        <f t="shared" si="4"/>
        <v>0</v>
      </c>
      <c r="K25" s="247">
        <f t="shared" si="5"/>
        <v>0</v>
      </c>
      <c r="L25" s="32"/>
      <c r="M25" s="33"/>
      <c r="N25" s="34"/>
      <c r="O25" s="35"/>
      <c r="P25" s="36">
        <v>24</v>
      </c>
      <c r="Q25" s="37"/>
      <c r="R25" s="34">
        <v>13</v>
      </c>
      <c r="S25" s="35"/>
      <c r="T25" s="32"/>
      <c r="U25" s="45"/>
      <c r="V25" s="46"/>
      <c r="W25" s="46"/>
      <c r="X25" s="46"/>
      <c r="Y25" s="46"/>
      <c r="Z25" s="46"/>
      <c r="AA25" s="35"/>
      <c r="AB25" s="458">
        <f t="shared" si="6"/>
        <v>0</v>
      </c>
      <c r="AC25" s="458">
        <f t="shared" si="7"/>
        <v>1.9299984351364039E-3</v>
      </c>
      <c r="AD25" s="116"/>
      <c r="AE25" s="487"/>
      <c r="AF25" s="487"/>
      <c r="AG25" s="487"/>
      <c r="AH25" s="487"/>
      <c r="AI25" s="487"/>
      <c r="AJ25" s="487"/>
      <c r="AK25" s="487"/>
      <c r="AL25" s="487"/>
      <c r="AM25" s="487"/>
      <c r="AN25" s="487"/>
      <c r="AO25" s="487"/>
      <c r="AP25" s="487"/>
      <c r="AQ25" s="487"/>
      <c r="AR25" s="487"/>
      <c r="AS25" s="487"/>
      <c r="AT25" s="487"/>
      <c r="AU25" s="487"/>
      <c r="AV25" s="487"/>
      <c r="AW25" s="487"/>
      <c r="AX25" s="487"/>
      <c r="AY25" s="487"/>
      <c r="AZ25" s="487"/>
      <c r="BA25" s="487"/>
      <c r="BB25" s="487"/>
      <c r="BC25" s="487"/>
      <c r="BD25" s="487"/>
      <c r="BE25" s="487"/>
      <c r="BF25" s="487"/>
      <c r="BG25" s="487"/>
      <c r="BH25" s="487"/>
      <c r="BI25" s="487"/>
      <c r="BJ25" s="487"/>
      <c r="BK25" s="487"/>
      <c r="BL25" s="487"/>
      <c r="BM25" s="487"/>
      <c r="BN25" s="487"/>
      <c r="BO25" s="487"/>
      <c r="BP25" s="487"/>
      <c r="BQ25" s="487"/>
      <c r="BR25" s="487"/>
      <c r="BS25" s="487"/>
      <c r="BT25" s="487"/>
      <c r="BU25" s="487"/>
      <c r="BV25" s="487"/>
      <c r="BW25" s="487"/>
      <c r="BX25" s="487"/>
      <c r="BY25" s="487"/>
      <c r="BZ25" s="487"/>
    </row>
    <row r="26" spans="1:120" s="488" customFormat="1" ht="27.75" customHeight="1" thickBot="1" x14ac:dyDescent="0.3">
      <c r="A26" s="753"/>
      <c r="B26" s="60" t="s">
        <v>142</v>
      </c>
      <c r="C26" s="489">
        <f>'2021-22 ERC'!F19</f>
        <v>605</v>
      </c>
      <c r="D26" s="489">
        <f>'2021-22 ERC'!G19</f>
        <v>0</v>
      </c>
      <c r="E26" s="199">
        <f t="shared" ref="E26" si="14">SUM(C26:D26)</f>
        <v>605</v>
      </c>
      <c r="F26" s="246">
        <f t="shared" si="11"/>
        <v>491</v>
      </c>
      <c r="G26" s="246">
        <f t="shared" si="11"/>
        <v>0</v>
      </c>
      <c r="H26" s="246">
        <f t="shared" si="12"/>
        <v>491</v>
      </c>
      <c r="I26" s="255">
        <f t="shared" si="3"/>
        <v>0.81157024793388433</v>
      </c>
      <c r="J26" s="255">
        <f t="shared" si="4"/>
        <v>0</v>
      </c>
      <c r="K26" s="255">
        <f t="shared" si="5"/>
        <v>0.81157024793388433</v>
      </c>
      <c r="L26" s="34">
        <v>29</v>
      </c>
      <c r="M26" s="46"/>
      <c r="N26" s="34"/>
      <c r="O26" s="46"/>
      <c r="P26" s="34">
        <v>275</v>
      </c>
      <c r="Q26" s="37"/>
      <c r="R26" s="34">
        <v>151</v>
      </c>
      <c r="S26" s="35"/>
      <c r="T26" s="34">
        <v>14</v>
      </c>
      <c r="U26" s="46"/>
      <c r="V26" s="34">
        <v>22</v>
      </c>
      <c r="W26" s="46"/>
      <c r="X26" s="34"/>
      <c r="Y26" s="37"/>
      <c r="Z26" s="34"/>
      <c r="AA26" s="35"/>
      <c r="AB26" s="458">
        <f t="shared" si="6"/>
        <v>3.2443157443157442E-2</v>
      </c>
      <c r="AC26" s="458">
        <f t="shared" si="7"/>
        <v>2.5611600855458765E-2</v>
      </c>
      <c r="AD26" s="116"/>
      <c r="AE26" s="487"/>
      <c r="AF26" s="487"/>
      <c r="AG26" s="487"/>
      <c r="AH26" s="487"/>
      <c r="AI26" s="487"/>
      <c r="AJ26" s="487"/>
      <c r="AK26" s="487"/>
      <c r="AL26" s="487"/>
      <c r="AM26" s="487"/>
      <c r="AN26" s="487"/>
      <c r="AO26" s="487"/>
      <c r="AP26" s="487"/>
      <c r="AQ26" s="487"/>
      <c r="AR26" s="487"/>
      <c r="AS26" s="487"/>
      <c r="AT26" s="487"/>
      <c r="AU26" s="487"/>
      <c r="AV26" s="487"/>
      <c r="AW26" s="487"/>
      <c r="AX26" s="487"/>
      <c r="AY26" s="487"/>
      <c r="AZ26" s="487"/>
      <c r="BA26" s="487"/>
      <c r="BB26" s="487"/>
      <c r="BC26" s="487"/>
      <c r="BD26" s="487"/>
      <c r="BE26" s="487"/>
      <c r="BF26" s="487"/>
      <c r="BG26" s="487"/>
      <c r="BH26" s="487"/>
      <c r="BI26" s="487"/>
      <c r="BJ26" s="487"/>
      <c r="BK26" s="487"/>
      <c r="BL26" s="487"/>
      <c r="BM26" s="487"/>
      <c r="BN26" s="487"/>
      <c r="BO26" s="487"/>
      <c r="BP26" s="487"/>
      <c r="BQ26" s="487"/>
      <c r="BR26" s="487"/>
      <c r="BS26" s="487"/>
      <c r="BT26" s="487"/>
      <c r="BU26" s="487"/>
      <c r="BV26" s="487"/>
      <c r="BW26" s="487"/>
      <c r="BX26" s="487"/>
      <c r="BY26" s="487"/>
      <c r="BZ26" s="487"/>
    </row>
    <row r="27" spans="1:120" s="480" customFormat="1" ht="16.5" thickTop="1" thickBot="1" x14ac:dyDescent="0.3">
      <c r="A27" s="757" t="s">
        <v>207</v>
      </c>
      <c r="B27" s="758"/>
      <c r="C27" s="489">
        <f>'2021-22 ERC'!F20</f>
        <v>11811</v>
      </c>
      <c r="D27" s="489">
        <f>'2021-22 ERC'!G20</f>
        <v>2791</v>
      </c>
      <c r="E27" s="200">
        <f>SUM(C27:D27)</f>
        <v>14602</v>
      </c>
      <c r="F27" s="256">
        <f>L27+N27+P27+R27</f>
        <v>12665</v>
      </c>
      <c r="G27" s="256">
        <f>M27+O27+Q27+S27</f>
        <v>2864</v>
      </c>
      <c r="H27" s="256">
        <f>SUM(F27:G27)</f>
        <v>15529</v>
      </c>
      <c r="I27" s="257">
        <f t="shared" ref="I27:I38" si="15">IFERROR(F27/C27,0)</f>
        <v>1.0723054779442893</v>
      </c>
      <c r="J27" s="257">
        <f t="shared" ref="J27:J38" si="16">IFERROR(G27/D27,0)</f>
        <v>1.0261554998208526</v>
      </c>
      <c r="K27" s="257">
        <f t="shared" ref="K27:K38" si="17">IFERROR(H27/E27,0)</f>
        <v>1.0634844541843582</v>
      </c>
      <c r="L27" s="258">
        <f>SUM(L13:L26)</f>
        <v>3457</v>
      </c>
      <c r="M27" s="258">
        <f t="shared" ref="M27:S27" si="18">SUM(M13:M26)</f>
        <v>94</v>
      </c>
      <c r="N27" s="258">
        <f t="shared" si="18"/>
        <v>610</v>
      </c>
      <c r="O27" s="258">
        <f t="shared" si="18"/>
        <v>135</v>
      </c>
      <c r="P27" s="258">
        <f t="shared" si="18"/>
        <v>5552</v>
      </c>
      <c r="Q27" s="258">
        <f t="shared" si="18"/>
        <v>525</v>
      </c>
      <c r="R27" s="258">
        <f t="shared" si="18"/>
        <v>3046</v>
      </c>
      <c r="S27" s="258">
        <f t="shared" si="18"/>
        <v>2110</v>
      </c>
      <c r="T27" s="61"/>
      <c r="U27" s="62"/>
      <c r="V27" s="61"/>
      <c r="W27" s="62"/>
      <c r="X27" s="61"/>
      <c r="Y27" s="63"/>
      <c r="Z27" s="61"/>
      <c r="AA27" s="64"/>
      <c r="AB27" s="458">
        <f t="shared" si="6"/>
        <v>0.78303303303303307</v>
      </c>
      <c r="AC27" s="458">
        <f t="shared" si="7"/>
        <v>0.81002555943873555</v>
      </c>
      <c r="AD27" s="116"/>
    </row>
    <row r="28" spans="1:120" s="480" customFormat="1" ht="15.75" thickBot="1" x14ac:dyDescent="0.3">
      <c r="A28" s="735" t="s">
        <v>208</v>
      </c>
      <c r="B28" s="736"/>
      <c r="C28" s="489">
        <f>'2021-22 ERC'!F21</f>
        <v>1096</v>
      </c>
      <c r="D28" s="489">
        <f>'2021-22 ERC'!G21</f>
        <v>1487</v>
      </c>
      <c r="E28" s="199">
        <f>SUM(C28:D28)</f>
        <v>2583</v>
      </c>
      <c r="F28" s="246">
        <f>T28+V28+X28+Z28</f>
        <v>1198</v>
      </c>
      <c r="G28" s="246">
        <f>U28+W28+Y28+AA28</f>
        <v>1092</v>
      </c>
      <c r="H28" s="246">
        <f>SUM(F28:G28)</f>
        <v>2290</v>
      </c>
      <c r="I28" s="247">
        <f t="shared" si="15"/>
        <v>1.0930656934306568</v>
      </c>
      <c r="J28" s="247">
        <f t="shared" si="16"/>
        <v>0.73436449226630796</v>
      </c>
      <c r="K28" s="247">
        <f t="shared" si="17"/>
        <v>0.886566008517228</v>
      </c>
      <c r="L28" s="42"/>
      <c r="M28" s="43"/>
      <c r="N28" s="44"/>
      <c r="O28" s="43"/>
      <c r="P28" s="44"/>
      <c r="Q28" s="43"/>
      <c r="R28" s="44"/>
      <c r="S28" s="43"/>
      <c r="T28" s="259">
        <f>SUM(T13:T27)</f>
        <v>638</v>
      </c>
      <c r="U28" s="259">
        <f t="shared" ref="U28:AA28" si="19">SUM(U13:U27)</f>
        <v>51</v>
      </c>
      <c r="V28" s="259">
        <f t="shared" si="19"/>
        <v>398</v>
      </c>
      <c r="W28" s="259">
        <f t="shared" si="19"/>
        <v>923</v>
      </c>
      <c r="X28" s="259">
        <f>SUM(X13:X27)</f>
        <v>149</v>
      </c>
      <c r="Y28" s="259">
        <f t="shared" si="19"/>
        <v>118</v>
      </c>
      <c r="Z28" s="259">
        <f t="shared" si="19"/>
        <v>13</v>
      </c>
      <c r="AA28" s="259">
        <f t="shared" si="19"/>
        <v>0</v>
      </c>
      <c r="AB28" s="458">
        <f t="shared" si="6"/>
        <v>0.13851351351351351</v>
      </c>
      <c r="AC28" s="458">
        <f t="shared" si="7"/>
        <v>0.11945125449898283</v>
      </c>
      <c r="AD28" s="116"/>
    </row>
    <row r="29" spans="1:120" ht="20.25" customHeight="1" thickBot="1" x14ac:dyDescent="0.3">
      <c r="A29" s="737" t="s">
        <v>209</v>
      </c>
      <c r="B29" s="65" t="s">
        <v>210</v>
      </c>
      <c r="C29" s="201"/>
      <c r="D29" s="201"/>
      <c r="E29" s="201"/>
      <c r="F29" s="67"/>
      <c r="G29" s="68"/>
      <c r="H29" s="69"/>
      <c r="I29" s="69"/>
      <c r="J29" s="69"/>
      <c r="K29" s="69"/>
      <c r="L29" s="70"/>
      <c r="M29" s="71"/>
      <c r="N29" s="72"/>
      <c r="O29" s="73"/>
      <c r="P29" s="72"/>
      <c r="Q29" s="73"/>
      <c r="R29" s="72"/>
      <c r="S29" s="73"/>
      <c r="T29" s="72"/>
      <c r="U29" s="73"/>
      <c r="V29" s="72"/>
      <c r="W29" s="73"/>
      <c r="X29" s="72"/>
      <c r="Y29" s="74"/>
      <c r="Z29" s="72"/>
      <c r="AA29" s="75"/>
      <c r="AB29" s="193"/>
      <c r="AC29" s="75"/>
      <c r="AE29" s="480"/>
      <c r="AF29" s="480"/>
      <c r="AG29" s="480"/>
      <c r="AH29" s="480"/>
      <c r="AI29" s="480"/>
      <c r="AJ29" s="480"/>
      <c r="AK29" s="480"/>
      <c r="AL29" s="480"/>
      <c r="AM29" s="480"/>
      <c r="AN29" s="480"/>
      <c r="AO29" s="480"/>
      <c r="AP29" s="480"/>
      <c r="AQ29" s="480"/>
      <c r="AR29" s="480"/>
      <c r="AS29" s="480"/>
      <c r="AT29" s="480"/>
      <c r="AU29" s="480"/>
      <c r="AV29" s="480"/>
      <c r="AW29" s="480"/>
      <c r="AX29" s="480"/>
      <c r="AY29" s="480"/>
      <c r="AZ29" s="480"/>
      <c r="BA29" s="480"/>
      <c r="BB29" s="480"/>
      <c r="BC29" s="480"/>
      <c r="BD29" s="480"/>
      <c r="BE29" s="480"/>
      <c r="BF29" s="480"/>
      <c r="CA29" s="481"/>
      <c r="CB29" s="481"/>
      <c r="CC29" s="481"/>
      <c r="CD29" s="481"/>
      <c r="CE29" s="481"/>
      <c r="CF29" s="481"/>
      <c r="CG29" s="481"/>
      <c r="CH29" s="481"/>
      <c r="CI29" s="481"/>
      <c r="CJ29" s="481"/>
      <c r="CK29" s="481"/>
      <c r="CL29" s="481"/>
      <c r="CM29" s="481"/>
      <c r="CN29" s="481"/>
      <c r="CO29" s="481"/>
      <c r="CP29" s="481"/>
      <c r="CQ29" s="481"/>
      <c r="CR29" s="481"/>
      <c r="CS29" s="481"/>
      <c r="CT29" s="481"/>
      <c r="CU29" s="481"/>
      <c r="CV29" s="481"/>
      <c r="CW29" s="481"/>
      <c r="CX29" s="481"/>
      <c r="CY29" s="481"/>
      <c r="CZ29" s="481"/>
      <c r="DA29" s="481"/>
      <c r="DB29" s="481"/>
      <c r="DC29" s="481"/>
      <c r="DD29" s="481"/>
      <c r="DE29" s="481"/>
      <c r="DF29" s="481"/>
      <c r="DG29" s="481"/>
      <c r="DH29" s="481"/>
      <c r="DI29" s="481"/>
      <c r="DJ29" s="481"/>
      <c r="DK29" s="481"/>
      <c r="DL29" s="481"/>
      <c r="DM29" s="481"/>
      <c r="DN29" s="481"/>
      <c r="DO29" s="481"/>
      <c r="DP29" s="481"/>
    </row>
    <row r="30" spans="1:120" ht="15.75" thickBot="1" x14ac:dyDescent="0.3">
      <c r="A30" s="738"/>
      <c r="B30" s="227" t="s">
        <v>211</v>
      </c>
      <c r="C30" s="496">
        <f>'2021-22 ERC'!F23</f>
        <v>0</v>
      </c>
      <c r="D30" s="496">
        <f>'2021-22 ERC'!G23</f>
        <v>32</v>
      </c>
      <c r="E30" s="194">
        <f>SUM(C30:D30)</f>
        <v>32</v>
      </c>
      <c r="F30" s="246">
        <f>L30+N30+P30+R30</f>
        <v>0</v>
      </c>
      <c r="G30" s="246">
        <f>M30+O30+Q30+S30</f>
        <v>36</v>
      </c>
      <c r="H30" s="246">
        <f>SUM(F30:G30)</f>
        <v>36</v>
      </c>
      <c r="I30" s="247">
        <f t="shared" si="15"/>
        <v>0</v>
      </c>
      <c r="J30" s="247">
        <f t="shared" si="16"/>
        <v>1.125</v>
      </c>
      <c r="K30" s="247">
        <f t="shared" si="17"/>
        <v>1.125</v>
      </c>
      <c r="L30" s="32"/>
      <c r="M30" s="45"/>
      <c r="N30" s="34"/>
      <c r="O30" s="46"/>
      <c r="P30" s="34"/>
      <c r="Q30" s="46">
        <v>36</v>
      </c>
      <c r="R30" s="34"/>
      <c r="S30" s="46"/>
      <c r="T30" s="77"/>
      <c r="U30" s="78"/>
      <c r="V30" s="77"/>
      <c r="W30" s="78"/>
      <c r="X30" s="77"/>
      <c r="Y30" s="79"/>
      <c r="Z30" s="77"/>
      <c r="AA30" s="80"/>
      <c r="AB30" s="458">
        <f t="shared" si="6"/>
        <v>1.716001716001716E-3</v>
      </c>
      <c r="AC30" s="458">
        <f t="shared" si="7"/>
        <v>1.8778363152678525E-3</v>
      </c>
      <c r="AE30" s="480"/>
      <c r="AF30" s="480"/>
      <c r="AG30" s="480"/>
      <c r="AH30" s="480"/>
      <c r="AI30" s="480"/>
      <c r="AJ30" s="480"/>
      <c r="AK30" s="480"/>
      <c r="AL30" s="480"/>
      <c r="AM30" s="480"/>
      <c r="AN30" s="480"/>
      <c r="AO30" s="480"/>
      <c r="AP30" s="480"/>
      <c r="AQ30" s="480"/>
      <c r="AR30" s="480"/>
      <c r="AS30" s="480"/>
      <c r="AT30" s="480"/>
      <c r="AU30" s="480"/>
      <c r="AV30" s="480"/>
      <c r="AW30" s="480"/>
      <c r="AX30" s="480"/>
      <c r="AY30" s="480"/>
      <c r="AZ30" s="480"/>
      <c r="BA30" s="480"/>
      <c r="BB30" s="480"/>
      <c r="BC30" s="480"/>
      <c r="BD30" s="480"/>
      <c r="BE30" s="480"/>
      <c r="BF30" s="480"/>
      <c r="CA30" s="481"/>
      <c r="CB30" s="481"/>
      <c r="CC30" s="481"/>
      <c r="CD30" s="481"/>
      <c r="CE30" s="481"/>
      <c r="CF30" s="481"/>
      <c r="CG30" s="481"/>
      <c r="CH30" s="481"/>
      <c r="CI30" s="481"/>
      <c r="CJ30" s="481"/>
      <c r="CK30" s="481"/>
      <c r="CL30" s="481"/>
      <c r="CM30" s="481"/>
      <c r="CN30" s="481"/>
      <c r="CO30" s="481"/>
      <c r="CP30" s="481"/>
      <c r="CQ30" s="481"/>
      <c r="CR30" s="481"/>
      <c r="CS30" s="481"/>
      <c r="CT30" s="481"/>
      <c r="CU30" s="481"/>
      <c r="CV30" s="481"/>
      <c r="CW30" s="481"/>
      <c r="CX30" s="481"/>
      <c r="CY30" s="481"/>
      <c r="CZ30" s="481"/>
      <c r="DA30" s="481"/>
      <c r="DB30" s="481"/>
      <c r="DC30" s="481"/>
      <c r="DD30" s="481"/>
      <c r="DE30" s="481"/>
      <c r="DF30" s="481"/>
      <c r="DG30" s="481"/>
      <c r="DH30" s="481"/>
      <c r="DI30" s="481"/>
      <c r="DJ30" s="481"/>
      <c r="DK30" s="481"/>
      <c r="DL30" s="481"/>
      <c r="DM30" s="481"/>
      <c r="DN30" s="481"/>
      <c r="DO30" s="481"/>
      <c r="DP30" s="481"/>
    </row>
    <row r="31" spans="1:120" s="502" customFormat="1" ht="30" customHeight="1" thickBot="1" x14ac:dyDescent="0.3">
      <c r="A31" s="738"/>
      <c r="B31" s="228" t="s">
        <v>212</v>
      </c>
      <c r="C31" s="496">
        <f>'2021-22 ERC'!F24</f>
        <v>0</v>
      </c>
      <c r="D31" s="496">
        <f>'2021-22 ERC'!G24</f>
        <v>100</v>
      </c>
      <c r="E31" s="194">
        <f t="shared" ref="E31:E32" si="20">SUM(C31:D31)</f>
        <v>100</v>
      </c>
      <c r="F31" s="246">
        <f>L31+N31+P31</f>
        <v>0</v>
      </c>
      <c r="G31" s="246">
        <f>M31+O31+Q31</f>
        <v>0</v>
      </c>
      <c r="H31" s="246">
        <f t="shared" ref="H31:H32" si="21">SUM(F31:G31)</f>
        <v>0</v>
      </c>
      <c r="I31" s="247">
        <f t="shared" si="15"/>
        <v>0</v>
      </c>
      <c r="J31" s="247">
        <f t="shared" si="16"/>
        <v>0</v>
      </c>
      <c r="K31" s="247">
        <f t="shared" si="17"/>
        <v>0</v>
      </c>
      <c r="L31" s="83"/>
      <c r="M31" s="84"/>
      <c r="N31" s="85"/>
      <c r="O31" s="86"/>
      <c r="P31" s="34"/>
      <c r="Q31" s="46"/>
      <c r="R31" s="77"/>
      <c r="S31" s="78"/>
      <c r="T31" s="77"/>
      <c r="U31" s="78"/>
      <c r="V31" s="77"/>
      <c r="W31" s="78"/>
      <c r="X31" s="77"/>
      <c r="Y31" s="79"/>
      <c r="Z31" s="77"/>
      <c r="AA31" s="80"/>
      <c r="AB31" s="458">
        <f t="shared" si="6"/>
        <v>5.3625053625053626E-3</v>
      </c>
      <c r="AC31" s="458">
        <f t="shared" si="7"/>
        <v>0</v>
      </c>
      <c r="AD31" s="116"/>
      <c r="AE31" s="480"/>
      <c r="AF31" s="480"/>
      <c r="AG31" s="480"/>
      <c r="AH31" s="480"/>
      <c r="AI31" s="480"/>
      <c r="AJ31" s="480"/>
      <c r="AK31" s="480"/>
      <c r="AL31" s="480"/>
      <c r="AM31" s="480"/>
      <c r="AN31" s="480"/>
      <c r="AO31" s="480"/>
      <c r="AP31" s="480"/>
      <c r="AQ31" s="480"/>
      <c r="AR31" s="480"/>
      <c r="AS31" s="480"/>
      <c r="AT31" s="480"/>
      <c r="AU31" s="480"/>
      <c r="AV31" s="480"/>
      <c r="AW31" s="480"/>
      <c r="AX31" s="480"/>
      <c r="AY31" s="480"/>
      <c r="AZ31" s="480"/>
      <c r="BA31" s="480"/>
      <c r="BB31" s="480"/>
      <c r="BC31" s="480"/>
      <c r="BD31" s="480"/>
      <c r="BE31" s="480"/>
      <c r="BF31" s="480"/>
      <c r="BG31" s="480"/>
      <c r="BH31" s="480"/>
      <c r="BI31" s="480"/>
      <c r="BJ31" s="480"/>
      <c r="BK31" s="480"/>
      <c r="BL31" s="480"/>
      <c r="BM31" s="480"/>
      <c r="BN31" s="480"/>
      <c r="BO31" s="480"/>
      <c r="BP31" s="480"/>
      <c r="BQ31" s="480"/>
      <c r="BR31" s="480"/>
      <c r="BS31" s="480"/>
      <c r="BT31" s="480"/>
      <c r="BU31" s="480"/>
      <c r="BV31" s="480"/>
      <c r="BW31" s="480"/>
      <c r="BX31" s="480"/>
      <c r="BY31" s="480"/>
      <c r="BZ31" s="480"/>
    </row>
    <row r="32" spans="1:120" ht="15.75" thickBot="1" x14ac:dyDescent="0.3">
      <c r="A32" s="738"/>
      <c r="B32" s="229" t="s">
        <v>213</v>
      </c>
      <c r="C32" s="496">
        <f>'2021-22 ERC'!F25</f>
        <v>0</v>
      </c>
      <c r="D32" s="496">
        <f>'2021-22 ERC'!G25</f>
        <v>134</v>
      </c>
      <c r="E32" s="194">
        <f t="shared" si="20"/>
        <v>134</v>
      </c>
      <c r="F32" s="246">
        <f>P32</f>
        <v>35</v>
      </c>
      <c r="G32" s="246">
        <f>Q32</f>
        <v>110</v>
      </c>
      <c r="H32" s="246">
        <f t="shared" si="21"/>
        <v>145</v>
      </c>
      <c r="I32" s="247">
        <f t="shared" si="15"/>
        <v>0</v>
      </c>
      <c r="J32" s="247">
        <f t="shared" si="16"/>
        <v>0.82089552238805974</v>
      </c>
      <c r="K32" s="247">
        <f t="shared" si="17"/>
        <v>1.0820895522388059</v>
      </c>
      <c r="L32" s="77"/>
      <c r="M32" s="78"/>
      <c r="N32" s="77"/>
      <c r="O32" s="78"/>
      <c r="P32" s="85">
        <v>35</v>
      </c>
      <c r="Q32" s="86">
        <v>110</v>
      </c>
      <c r="R32" s="77"/>
      <c r="S32" s="78"/>
      <c r="T32" s="77"/>
      <c r="U32" s="78"/>
      <c r="V32" s="77"/>
      <c r="W32" s="78"/>
      <c r="X32" s="77"/>
      <c r="Y32" s="79"/>
      <c r="Z32" s="77"/>
      <c r="AA32" s="80"/>
      <c r="AB32" s="458">
        <f t="shared" si="6"/>
        <v>7.1857571857571858E-3</v>
      </c>
      <c r="AC32" s="458">
        <f t="shared" si="7"/>
        <v>7.5635073809399616E-3</v>
      </c>
      <c r="AE32" s="480"/>
      <c r="AF32" s="480"/>
      <c r="AG32" s="480"/>
      <c r="AH32" s="480"/>
      <c r="AI32" s="480"/>
      <c r="AJ32" s="480"/>
      <c r="AK32" s="480"/>
      <c r="AL32" s="480"/>
      <c r="AM32" s="480"/>
      <c r="AN32" s="480"/>
      <c r="AO32" s="480"/>
      <c r="AP32" s="480"/>
      <c r="AQ32" s="480"/>
      <c r="AR32" s="480"/>
      <c r="AS32" s="480"/>
      <c r="AT32" s="480"/>
      <c r="AU32" s="480"/>
      <c r="AV32" s="480"/>
      <c r="AW32" s="480"/>
      <c r="AX32" s="480"/>
      <c r="AY32" s="480"/>
      <c r="AZ32" s="480"/>
      <c r="BA32" s="480"/>
      <c r="BB32" s="480"/>
      <c r="BC32" s="480"/>
      <c r="BD32" s="480"/>
      <c r="BE32" s="480"/>
      <c r="BF32" s="480"/>
      <c r="CA32" s="481"/>
      <c r="CB32" s="481"/>
      <c r="CC32" s="481"/>
      <c r="CD32" s="481"/>
      <c r="CE32" s="481"/>
      <c r="CF32" s="481"/>
      <c r="CG32" s="481"/>
      <c r="CH32" s="481"/>
      <c r="CI32" s="481"/>
      <c r="CJ32" s="481"/>
      <c r="CK32" s="481"/>
      <c r="CL32" s="481"/>
      <c r="CM32" s="481"/>
      <c r="CN32" s="481"/>
      <c r="CO32" s="481"/>
      <c r="CP32" s="481"/>
      <c r="CQ32" s="481"/>
      <c r="CR32" s="481"/>
      <c r="CS32" s="481"/>
      <c r="CT32" s="481"/>
      <c r="CU32" s="481"/>
      <c r="CV32" s="481"/>
      <c r="CW32" s="481"/>
      <c r="CX32" s="481"/>
      <c r="CY32" s="481"/>
      <c r="CZ32" s="481"/>
      <c r="DA32" s="481"/>
      <c r="DB32" s="481"/>
      <c r="DC32" s="481"/>
      <c r="DD32" s="481"/>
      <c r="DE32" s="481"/>
      <c r="DF32" s="481"/>
      <c r="DG32" s="481"/>
      <c r="DH32" s="481"/>
      <c r="DI32" s="481"/>
      <c r="DJ32" s="481"/>
      <c r="DK32" s="481"/>
      <c r="DL32" s="481"/>
      <c r="DM32" s="481"/>
      <c r="DN32" s="481"/>
      <c r="DO32" s="481"/>
      <c r="DP32" s="481"/>
    </row>
    <row r="33" spans="1:123" ht="20.25" customHeight="1" thickBot="1" x14ac:dyDescent="0.3">
      <c r="A33" s="738"/>
      <c r="B33" s="65" t="s">
        <v>214</v>
      </c>
      <c r="C33" s="195"/>
      <c r="D33" s="195"/>
      <c r="E33" s="195"/>
      <c r="F33" s="69"/>
      <c r="G33" s="69"/>
      <c r="H33" s="69"/>
      <c r="I33" s="69"/>
      <c r="J33" s="69"/>
      <c r="K33" s="69"/>
      <c r="L33" s="70"/>
      <c r="M33" s="71"/>
      <c r="N33" s="72"/>
      <c r="O33" s="73"/>
      <c r="P33" s="72"/>
      <c r="Q33" s="73"/>
      <c r="R33" s="72"/>
      <c r="S33" s="73"/>
      <c r="T33" s="72"/>
      <c r="U33" s="73"/>
      <c r="V33" s="72"/>
      <c r="W33" s="73"/>
      <c r="X33" s="72"/>
      <c r="Y33" s="74"/>
      <c r="Z33" s="72"/>
      <c r="AA33" s="75"/>
      <c r="AB33" s="193"/>
      <c r="AC33" s="75"/>
      <c r="AE33" s="480"/>
      <c r="AF33" s="480"/>
      <c r="AG33" s="480"/>
      <c r="AH33" s="480"/>
      <c r="AI33" s="480"/>
      <c r="AJ33" s="480"/>
      <c r="AK33" s="480"/>
      <c r="AL33" s="480"/>
      <c r="AM33" s="480"/>
      <c r="AN33" s="480"/>
      <c r="AO33" s="480"/>
      <c r="AP33" s="480"/>
      <c r="AQ33" s="480"/>
      <c r="AR33" s="480"/>
      <c r="AS33" s="480"/>
      <c r="AT33" s="480"/>
      <c r="AU33" s="480"/>
      <c r="AV33" s="480"/>
      <c r="AW33" s="480"/>
      <c r="AX33" s="480"/>
      <c r="AY33" s="480"/>
      <c r="AZ33" s="480"/>
      <c r="BA33" s="480"/>
      <c r="BB33" s="480"/>
      <c r="BC33" s="480"/>
      <c r="BD33" s="480"/>
      <c r="BE33" s="480"/>
      <c r="BF33" s="480"/>
      <c r="CA33" s="481"/>
      <c r="CB33" s="481"/>
      <c r="CC33" s="481"/>
      <c r="CD33" s="481"/>
      <c r="CE33" s="481"/>
      <c r="CF33" s="481"/>
      <c r="CG33" s="481"/>
      <c r="CH33" s="481"/>
      <c r="CI33" s="481"/>
      <c r="CJ33" s="481"/>
      <c r="CK33" s="481"/>
      <c r="CL33" s="481"/>
      <c r="CM33" s="481"/>
      <c r="CN33" s="481"/>
      <c r="CO33" s="481"/>
      <c r="CP33" s="481"/>
      <c r="CQ33" s="481"/>
      <c r="CR33" s="481"/>
      <c r="CS33" s="481"/>
      <c r="CT33" s="481"/>
      <c r="CU33" s="481"/>
      <c r="CV33" s="481"/>
      <c r="CW33" s="481"/>
      <c r="CX33" s="481"/>
      <c r="CY33" s="481"/>
      <c r="CZ33" s="481"/>
      <c r="DA33" s="481"/>
      <c r="DB33" s="481"/>
      <c r="DC33" s="481"/>
      <c r="DD33" s="481"/>
      <c r="DE33" s="481"/>
      <c r="DF33" s="481"/>
      <c r="DG33" s="481"/>
      <c r="DH33" s="481"/>
      <c r="DI33" s="481"/>
      <c r="DJ33" s="481"/>
      <c r="DK33" s="481"/>
      <c r="DL33" s="481"/>
      <c r="DM33" s="481"/>
      <c r="DN33" s="481"/>
      <c r="DO33" s="481"/>
      <c r="DP33" s="481"/>
    </row>
    <row r="34" spans="1:123" ht="15.75" thickBot="1" x14ac:dyDescent="0.3">
      <c r="A34" s="739"/>
      <c r="B34" s="225" t="s">
        <v>215</v>
      </c>
      <c r="C34" s="503">
        <f>'2021-22 ERC'!F27</f>
        <v>410</v>
      </c>
      <c r="D34" s="503">
        <f>'2021-22 ERC'!G27</f>
        <v>558</v>
      </c>
      <c r="E34" s="196">
        <f>SUM(C34:D34)</f>
        <v>968</v>
      </c>
      <c r="F34" s="246">
        <f>P34+R34</f>
        <v>116</v>
      </c>
      <c r="G34" s="246">
        <f>Q34+S34</f>
        <v>837</v>
      </c>
      <c r="H34" s="246">
        <f>SUM(F34:G34)</f>
        <v>953</v>
      </c>
      <c r="I34" s="247">
        <f t="shared" si="15"/>
        <v>0.28292682926829266</v>
      </c>
      <c r="J34" s="247">
        <f t="shared" si="16"/>
        <v>1.5</v>
      </c>
      <c r="K34" s="247">
        <f t="shared" si="17"/>
        <v>0.98450413223140498</v>
      </c>
      <c r="L34" s="77"/>
      <c r="M34" s="78"/>
      <c r="N34" s="77"/>
      <c r="O34" s="78"/>
      <c r="P34" s="34">
        <v>76</v>
      </c>
      <c r="Q34" s="46">
        <v>197</v>
      </c>
      <c r="R34" s="34">
        <v>40</v>
      </c>
      <c r="S34" s="46">
        <v>640</v>
      </c>
      <c r="T34" s="77"/>
      <c r="U34" s="78"/>
      <c r="V34" s="77"/>
      <c r="W34" s="78"/>
      <c r="X34" s="77"/>
      <c r="Y34" s="79"/>
      <c r="Z34" s="77"/>
      <c r="AA34" s="80"/>
      <c r="AB34" s="459">
        <f t="shared" si="6"/>
        <v>5.1909051909051908E-2</v>
      </c>
      <c r="AC34" s="458">
        <f t="shared" si="7"/>
        <v>4.9710500234729539E-2</v>
      </c>
      <c r="AE34" s="480"/>
      <c r="AF34" s="480"/>
      <c r="AG34" s="480"/>
      <c r="AH34" s="480"/>
      <c r="AI34" s="480"/>
      <c r="AJ34" s="480"/>
      <c r="AK34" s="480"/>
      <c r="AL34" s="480"/>
      <c r="AM34" s="480"/>
      <c r="AN34" s="480"/>
      <c r="AO34" s="480"/>
      <c r="AP34" s="480"/>
      <c r="AQ34" s="480"/>
      <c r="AR34" s="480"/>
      <c r="AS34" s="480"/>
      <c r="AT34" s="480"/>
      <c r="AU34" s="480"/>
      <c r="AV34" s="480"/>
      <c r="AW34" s="480"/>
      <c r="AX34" s="480"/>
      <c r="AY34" s="480"/>
      <c r="AZ34" s="480"/>
      <c r="BA34" s="480"/>
      <c r="BB34" s="480"/>
      <c r="BC34" s="480"/>
      <c r="BD34" s="480"/>
      <c r="BE34" s="480"/>
      <c r="BF34" s="480"/>
      <c r="CA34" s="481"/>
      <c r="CB34" s="481"/>
      <c r="CC34" s="481"/>
      <c r="CD34" s="481"/>
      <c r="CE34" s="481"/>
      <c r="CF34" s="481"/>
      <c r="CG34" s="481"/>
      <c r="CH34" s="481"/>
      <c r="CI34" s="481"/>
      <c r="CJ34" s="481"/>
      <c r="CK34" s="481"/>
      <c r="CL34" s="481"/>
      <c r="CM34" s="481"/>
      <c r="CN34" s="481"/>
      <c r="CO34" s="481"/>
      <c r="CP34" s="481"/>
      <c r="CQ34" s="481"/>
      <c r="CR34" s="481"/>
      <c r="CS34" s="481"/>
      <c r="CT34" s="481"/>
      <c r="CU34" s="481"/>
      <c r="CV34" s="481"/>
      <c r="CW34" s="481"/>
      <c r="CX34" s="481"/>
      <c r="CY34" s="481"/>
      <c r="CZ34" s="481"/>
      <c r="DA34" s="481"/>
      <c r="DB34" s="481"/>
      <c r="DC34" s="481"/>
      <c r="DD34" s="481"/>
      <c r="DE34" s="481"/>
      <c r="DF34" s="481"/>
      <c r="DG34" s="481"/>
      <c r="DH34" s="481"/>
      <c r="DI34" s="481"/>
      <c r="DJ34" s="481"/>
      <c r="DK34" s="481"/>
      <c r="DL34" s="481"/>
      <c r="DM34" s="481"/>
      <c r="DN34" s="481"/>
      <c r="DO34" s="481"/>
      <c r="DP34" s="481"/>
    </row>
    <row r="35" spans="1:123" ht="15.75" thickBot="1" x14ac:dyDescent="0.3">
      <c r="A35" s="739"/>
      <c r="B35" s="226" t="s">
        <v>216</v>
      </c>
      <c r="C35" s="503">
        <f>'2021-22 ERC'!F28</f>
        <v>229</v>
      </c>
      <c r="D35" s="503">
        <f>'2021-22 ERC'!G28</f>
        <v>0</v>
      </c>
      <c r="E35" s="196">
        <f>SUM(C35:D35)</f>
        <v>229</v>
      </c>
      <c r="F35" s="254">
        <f>T35+V35+X35</f>
        <v>218</v>
      </c>
      <c r="G35" s="254">
        <f>U35+W35</f>
        <v>0</v>
      </c>
      <c r="H35" s="246">
        <f>SUM(F35:G35)</f>
        <v>218</v>
      </c>
      <c r="I35" s="247">
        <f t="shared" si="15"/>
        <v>0.95196506550218341</v>
      </c>
      <c r="J35" s="247">
        <f t="shared" si="16"/>
        <v>0</v>
      </c>
      <c r="K35" s="247">
        <f t="shared" si="17"/>
        <v>0.95196506550218341</v>
      </c>
      <c r="L35" s="92"/>
      <c r="M35" s="93"/>
      <c r="N35" s="92"/>
      <c r="O35" s="93"/>
      <c r="P35" s="92"/>
      <c r="Q35" s="93"/>
      <c r="R35" s="92"/>
      <c r="S35" s="93"/>
      <c r="T35" s="94">
        <v>11</v>
      </c>
      <c r="U35" s="78"/>
      <c r="V35" s="94">
        <v>198</v>
      </c>
      <c r="W35" s="78"/>
      <c r="X35" s="94">
        <v>9</v>
      </c>
      <c r="Y35" s="95"/>
      <c r="Z35" s="92"/>
      <c r="AA35" s="96"/>
      <c r="AB35" s="460">
        <f t="shared" si="6"/>
        <v>1.228013728013728E-2</v>
      </c>
      <c r="AC35" s="461">
        <f t="shared" si="7"/>
        <v>1.1371342131344218E-2</v>
      </c>
      <c r="AE35" s="480"/>
      <c r="AF35" s="480"/>
      <c r="AG35" s="480"/>
      <c r="AH35" s="480"/>
      <c r="AI35" s="480"/>
      <c r="AJ35" s="480"/>
      <c r="AK35" s="480"/>
      <c r="AL35" s="480"/>
      <c r="AM35" s="480"/>
      <c r="AN35" s="480"/>
      <c r="AO35" s="480"/>
      <c r="AP35" s="480"/>
      <c r="AQ35" s="480"/>
      <c r="AR35" s="480"/>
      <c r="AS35" s="480"/>
      <c r="AT35" s="480"/>
      <c r="AU35" s="480"/>
      <c r="AV35" s="480"/>
      <c r="AW35" s="480"/>
      <c r="AX35" s="480"/>
      <c r="AY35" s="480"/>
      <c r="AZ35" s="480"/>
      <c r="BA35" s="480"/>
      <c r="BB35" s="480"/>
      <c r="BC35" s="480"/>
      <c r="BD35" s="480"/>
      <c r="BE35" s="480"/>
      <c r="BF35" s="480"/>
      <c r="CA35" s="481"/>
      <c r="CB35" s="481"/>
      <c r="CC35" s="481"/>
      <c r="CD35" s="481"/>
      <c r="CE35" s="481"/>
      <c r="CF35" s="481"/>
      <c r="CG35" s="481"/>
      <c r="CH35" s="481"/>
      <c r="CI35" s="481"/>
      <c r="CJ35" s="481"/>
      <c r="CK35" s="481"/>
      <c r="CL35" s="481"/>
      <c r="CM35" s="481"/>
      <c r="CN35" s="481"/>
      <c r="CO35" s="481"/>
      <c r="CP35" s="481"/>
      <c r="CQ35" s="481"/>
      <c r="CR35" s="481"/>
      <c r="CS35" s="481"/>
      <c r="CT35" s="481"/>
      <c r="CU35" s="481"/>
      <c r="CV35" s="481"/>
      <c r="CW35" s="481"/>
      <c r="CX35" s="481"/>
      <c r="CY35" s="481"/>
      <c r="CZ35" s="481"/>
      <c r="DA35" s="481"/>
      <c r="DB35" s="481"/>
      <c r="DC35" s="481"/>
      <c r="DD35" s="481"/>
      <c r="DE35" s="481"/>
      <c r="DF35" s="481"/>
      <c r="DG35" s="481"/>
      <c r="DH35" s="481"/>
      <c r="DI35" s="481"/>
      <c r="DJ35" s="481"/>
      <c r="DK35" s="481"/>
      <c r="DL35" s="481"/>
      <c r="DM35" s="481"/>
      <c r="DN35" s="481"/>
      <c r="DO35" s="481"/>
      <c r="DP35" s="481"/>
    </row>
    <row r="36" spans="1:123" ht="48.75" customHeight="1" thickTop="1" thickBot="1" x14ac:dyDescent="0.3">
      <c r="A36" s="705" t="s">
        <v>217</v>
      </c>
      <c r="B36" s="706"/>
      <c r="C36" s="197">
        <f>SUM(C27:C35)</f>
        <v>13546</v>
      </c>
      <c r="D36" s="197">
        <f t="shared" ref="D36:E36" si="22">SUM(D27:D35)</f>
        <v>5102</v>
      </c>
      <c r="E36" s="197">
        <f t="shared" si="22"/>
        <v>18648</v>
      </c>
      <c r="F36" s="248">
        <f>SUM(F27:F35)</f>
        <v>14232</v>
      </c>
      <c r="G36" s="248">
        <f>SUM(G27:G35)</f>
        <v>4939</v>
      </c>
      <c r="H36" s="246">
        <f>SUM(F36:G36)</f>
        <v>19171</v>
      </c>
      <c r="I36" s="247">
        <f t="shared" si="15"/>
        <v>1.0506422560165363</v>
      </c>
      <c r="J36" s="247">
        <f t="shared" si="16"/>
        <v>0.96805174441395536</v>
      </c>
      <c r="K36" s="247">
        <f t="shared" si="17"/>
        <v>1.028045903045903</v>
      </c>
      <c r="L36" s="249">
        <f>SUM(L27:L35)</f>
        <v>3457</v>
      </c>
      <c r="M36" s="250">
        <f t="shared" ref="M36:AA36" si="23">SUM(M27:M35)</f>
        <v>94</v>
      </c>
      <c r="N36" s="250">
        <f t="shared" si="23"/>
        <v>610</v>
      </c>
      <c r="O36" s="250">
        <f t="shared" si="23"/>
        <v>135</v>
      </c>
      <c r="P36" s="250">
        <f>SUM(P27:P35)</f>
        <v>5663</v>
      </c>
      <c r="Q36" s="250">
        <f t="shared" si="23"/>
        <v>868</v>
      </c>
      <c r="R36" s="250">
        <f t="shared" si="23"/>
        <v>3086</v>
      </c>
      <c r="S36" s="250">
        <f t="shared" si="23"/>
        <v>2750</v>
      </c>
      <c r="T36" s="250">
        <f t="shared" si="23"/>
        <v>649</v>
      </c>
      <c r="U36" s="250">
        <f t="shared" si="23"/>
        <v>51</v>
      </c>
      <c r="V36" s="250">
        <f>SUM(V27:V35)</f>
        <v>596</v>
      </c>
      <c r="W36" s="250">
        <f t="shared" si="23"/>
        <v>923</v>
      </c>
      <c r="X36" s="250">
        <f t="shared" si="23"/>
        <v>158</v>
      </c>
      <c r="Y36" s="251">
        <f t="shared" si="23"/>
        <v>118</v>
      </c>
      <c r="Z36" s="252">
        <f>SUM(Z27:Z35)</f>
        <v>13</v>
      </c>
      <c r="AA36" s="253">
        <f t="shared" si="23"/>
        <v>0</v>
      </c>
      <c r="BG36" s="116"/>
      <c r="BH36" s="116"/>
      <c r="BI36" s="116"/>
      <c r="DQ36" s="480"/>
      <c r="DR36" s="480"/>
      <c r="DS36" s="480"/>
    </row>
    <row r="37" spans="1:123" ht="9" customHeight="1" thickBot="1" x14ac:dyDescent="0.3">
      <c r="A37" s="97"/>
      <c r="B37" s="98"/>
      <c r="C37" s="198"/>
      <c r="D37" s="198"/>
      <c r="E37" s="198"/>
      <c r="F37" s="99"/>
      <c r="G37" s="100"/>
      <c r="H37" s="101"/>
      <c r="I37" s="101"/>
      <c r="J37" s="101"/>
      <c r="K37" s="101"/>
      <c r="L37" s="102"/>
      <c r="M37" s="102"/>
      <c r="N37" s="102"/>
      <c r="O37" s="102"/>
      <c r="P37" s="102"/>
      <c r="Q37" s="102"/>
      <c r="R37" s="102"/>
      <c r="S37" s="102"/>
      <c r="T37" s="102"/>
      <c r="U37" s="102"/>
      <c r="V37" s="102"/>
      <c r="W37" s="102"/>
      <c r="X37" s="102"/>
      <c r="Y37" s="102"/>
      <c r="Z37" s="103"/>
      <c r="AA37" s="104"/>
      <c r="BG37" s="116"/>
      <c r="BH37" s="116"/>
      <c r="BI37" s="116"/>
      <c r="DQ37" s="480"/>
      <c r="DR37" s="480"/>
      <c r="DS37" s="480"/>
    </row>
    <row r="38" spans="1:123" ht="28.5" customHeight="1" thickBot="1" x14ac:dyDescent="0.3">
      <c r="A38" s="740" t="s">
        <v>218</v>
      </c>
      <c r="B38" s="741"/>
      <c r="C38" s="196">
        <f>'2021-22 ERC'!F31</f>
        <v>0</v>
      </c>
      <c r="D38" s="196">
        <f>'2021-22 ERC'!G31</f>
        <v>0</v>
      </c>
      <c r="E38" s="196">
        <f>SUM(C38:D38)</f>
        <v>0</v>
      </c>
      <c r="F38" s="246">
        <f>L38+N38+P38+R38+T38+V38+X38+Z38</f>
        <v>0</v>
      </c>
      <c r="G38" s="246">
        <f>M38+O38+Q38+S38+U38+W38+Y38+AA38</f>
        <v>0</v>
      </c>
      <c r="H38" s="246">
        <f>SUM(F38:G38)</f>
        <v>0</v>
      </c>
      <c r="I38" s="247">
        <f t="shared" si="15"/>
        <v>0</v>
      </c>
      <c r="J38" s="247">
        <f t="shared" si="16"/>
        <v>0</v>
      </c>
      <c r="K38" s="247">
        <f t="shared" si="17"/>
        <v>0</v>
      </c>
      <c r="L38" s="36"/>
      <c r="M38" s="46"/>
      <c r="N38" s="34"/>
      <c r="O38" s="46"/>
      <c r="P38" s="34"/>
      <c r="Q38" s="46"/>
      <c r="R38" s="34"/>
      <c r="S38" s="46"/>
      <c r="T38" s="34"/>
      <c r="U38" s="46"/>
      <c r="V38" s="34"/>
      <c r="W38" s="46"/>
      <c r="X38" s="34"/>
      <c r="Y38" s="37"/>
      <c r="Z38" s="34"/>
      <c r="AA38" s="35"/>
      <c r="AK38" s="480"/>
      <c r="AL38" s="480"/>
      <c r="AM38" s="480"/>
      <c r="AN38" s="480"/>
      <c r="AO38" s="480"/>
      <c r="AP38" s="480"/>
      <c r="AQ38" s="480"/>
      <c r="AR38" s="480"/>
      <c r="AS38" s="480"/>
      <c r="AT38" s="480"/>
      <c r="AU38" s="480"/>
      <c r="AV38" s="480"/>
      <c r="AW38" s="480"/>
      <c r="AX38" s="480"/>
      <c r="AY38" s="480"/>
      <c r="AZ38" s="480"/>
      <c r="BA38" s="480"/>
      <c r="BB38" s="480"/>
      <c r="BC38" s="480"/>
      <c r="BD38" s="480"/>
      <c r="BE38" s="480"/>
      <c r="BF38" s="480"/>
      <c r="CU38" s="481"/>
      <c r="CV38" s="481"/>
      <c r="CW38" s="481"/>
      <c r="CX38" s="481"/>
      <c r="CY38" s="481"/>
      <c r="CZ38" s="481"/>
      <c r="DA38" s="481"/>
      <c r="DB38" s="481"/>
      <c r="DC38" s="481"/>
      <c r="DD38" s="481"/>
      <c r="DE38" s="481"/>
      <c r="DF38" s="481"/>
      <c r="DG38" s="481"/>
      <c r="DH38" s="481"/>
      <c r="DI38" s="481"/>
      <c r="DJ38" s="481"/>
      <c r="DK38" s="481"/>
      <c r="DL38" s="481"/>
      <c r="DM38" s="481"/>
      <c r="DN38" s="481"/>
      <c r="DO38" s="481"/>
      <c r="DP38" s="481"/>
    </row>
    <row r="39" spans="1:123" x14ac:dyDescent="0.25">
      <c r="BG39" s="116"/>
      <c r="DQ39" s="480"/>
    </row>
    <row r="40" spans="1:123" x14ac:dyDescent="0.25">
      <c r="BG40" s="116"/>
      <c r="DQ40" s="480"/>
    </row>
    <row r="41" spans="1:123" ht="15.75" thickBot="1" x14ac:dyDescent="0.3">
      <c r="BG41" s="116"/>
      <c r="DQ41" s="480"/>
    </row>
    <row r="42" spans="1:123" ht="75.75" customHeight="1" x14ac:dyDescent="0.25">
      <c r="A42" s="742" t="s">
        <v>219</v>
      </c>
      <c r="B42" s="743"/>
      <c r="C42" s="711" t="s">
        <v>179</v>
      </c>
      <c r="D42" s="712"/>
      <c r="E42" s="713"/>
      <c r="F42" s="711" t="s">
        <v>180</v>
      </c>
      <c r="G42" s="712"/>
      <c r="H42" s="713"/>
      <c r="I42" s="711" t="s">
        <v>181</v>
      </c>
      <c r="J42" s="712"/>
      <c r="K42" s="713"/>
      <c r="L42" s="714" t="s">
        <v>182</v>
      </c>
      <c r="M42" s="715"/>
      <c r="N42" s="716" t="s">
        <v>183</v>
      </c>
      <c r="O42" s="717"/>
      <c r="P42" s="718" t="s">
        <v>184</v>
      </c>
      <c r="Q42" s="715"/>
      <c r="R42" s="718" t="s">
        <v>185</v>
      </c>
      <c r="S42" s="715"/>
      <c r="T42" s="725" t="s">
        <v>186</v>
      </c>
      <c r="U42" s="726"/>
      <c r="V42" s="725" t="s">
        <v>187</v>
      </c>
      <c r="W42" s="726"/>
      <c r="X42" s="725" t="s">
        <v>188</v>
      </c>
      <c r="Y42" s="716"/>
      <c r="Z42" s="725" t="s">
        <v>189</v>
      </c>
      <c r="AA42" s="727"/>
      <c r="AB42" s="485" t="s">
        <v>190</v>
      </c>
      <c r="AC42" s="486" t="s">
        <v>191</v>
      </c>
      <c r="BG42" s="116"/>
      <c r="BH42" s="116"/>
      <c r="DQ42" s="480"/>
      <c r="DR42" s="480"/>
    </row>
    <row r="43" spans="1:123" ht="15.75" customHeight="1" x14ac:dyDescent="0.25">
      <c r="A43" s="744"/>
      <c r="B43" s="745"/>
      <c r="C43" s="719" t="s">
        <v>117</v>
      </c>
      <c r="D43" s="728"/>
      <c r="E43" s="729"/>
      <c r="F43" s="719" t="s">
        <v>117</v>
      </c>
      <c r="G43" s="728"/>
      <c r="H43" s="729"/>
      <c r="I43" s="759" t="s">
        <v>117</v>
      </c>
      <c r="J43" s="760"/>
      <c r="K43" s="760"/>
      <c r="L43" s="728" t="s">
        <v>117</v>
      </c>
      <c r="M43" s="720"/>
      <c r="N43" s="719" t="s">
        <v>117</v>
      </c>
      <c r="O43" s="720"/>
      <c r="P43" s="719" t="s">
        <v>117</v>
      </c>
      <c r="Q43" s="720"/>
      <c r="R43" s="719" t="s">
        <v>117</v>
      </c>
      <c r="S43" s="720"/>
      <c r="T43" s="721" t="s">
        <v>117</v>
      </c>
      <c r="U43" s="733"/>
      <c r="V43" s="721" t="s">
        <v>117</v>
      </c>
      <c r="W43" s="733"/>
      <c r="X43" s="721" t="s">
        <v>117</v>
      </c>
      <c r="Y43" s="734"/>
      <c r="Z43" s="721" t="s">
        <v>117</v>
      </c>
      <c r="AA43" s="722"/>
      <c r="AB43" s="260" t="s">
        <v>117</v>
      </c>
      <c r="AC43" s="260" t="s">
        <v>117</v>
      </c>
      <c r="BG43" s="116"/>
      <c r="BH43" s="116"/>
      <c r="DQ43" s="480"/>
      <c r="DR43" s="480"/>
    </row>
    <row r="44" spans="1:123" ht="15.75" thickBot="1" x14ac:dyDescent="0.3">
      <c r="A44" s="746"/>
      <c r="B44" s="747"/>
      <c r="C44" s="31" t="s">
        <v>158</v>
      </c>
      <c r="D44" s="179" t="s">
        <v>156</v>
      </c>
      <c r="E44" s="121" t="s">
        <v>193</v>
      </c>
      <c r="F44" s="31" t="s">
        <v>158</v>
      </c>
      <c r="G44" s="179" t="s">
        <v>156</v>
      </c>
      <c r="H44" s="121" t="s">
        <v>193</v>
      </c>
      <c r="I44" s="31" t="s">
        <v>158</v>
      </c>
      <c r="J44" s="262" t="s">
        <v>156</v>
      </c>
      <c r="K44" s="121" t="s">
        <v>193</v>
      </c>
      <c r="L44" s="218" t="s">
        <v>158</v>
      </c>
      <c r="M44" s="219" t="s">
        <v>156</v>
      </c>
      <c r="N44" s="31" t="s">
        <v>158</v>
      </c>
      <c r="O44" s="219" t="s">
        <v>156</v>
      </c>
      <c r="P44" s="31" t="s">
        <v>158</v>
      </c>
      <c r="Q44" s="219" t="s">
        <v>156</v>
      </c>
      <c r="R44" s="31" t="s">
        <v>158</v>
      </c>
      <c r="S44" s="219" t="s">
        <v>156</v>
      </c>
      <c r="T44" s="220" t="s">
        <v>158</v>
      </c>
      <c r="U44" s="221" t="s">
        <v>156</v>
      </c>
      <c r="V44" s="220" t="s">
        <v>158</v>
      </c>
      <c r="W44" s="222" t="s">
        <v>156</v>
      </c>
      <c r="X44" s="220" t="s">
        <v>158</v>
      </c>
      <c r="Y44" s="223" t="s">
        <v>156</v>
      </c>
      <c r="Z44" s="220" t="s">
        <v>158</v>
      </c>
      <c r="AA44" s="224" t="s">
        <v>156</v>
      </c>
      <c r="AB44" s="261" t="s">
        <v>194</v>
      </c>
      <c r="AC44" s="261" t="s">
        <v>194</v>
      </c>
      <c r="BG44" s="116"/>
      <c r="BH44" s="116"/>
      <c r="DQ44" s="480"/>
      <c r="DR44" s="480"/>
    </row>
    <row r="45" spans="1:123" ht="67.5" customHeight="1" thickBot="1" x14ac:dyDescent="0.3">
      <c r="A45" s="723" t="s">
        <v>220</v>
      </c>
      <c r="B45" s="724"/>
      <c r="C45" s="489">
        <f>'2021-22 ERC'!F38</f>
        <v>2017</v>
      </c>
      <c r="D45" s="489">
        <f>'2021-22 ERC'!G38</f>
        <v>2791</v>
      </c>
      <c r="E45" s="199">
        <f>SUM(C45:D45)</f>
        <v>4808</v>
      </c>
      <c r="F45" s="230">
        <f>L45+N45+P45+R45</f>
        <v>2328</v>
      </c>
      <c r="G45" s="230">
        <f>M45+O45+Q45+S45</f>
        <v>2687</v>
      </c>
      <c r="H45" s="230">
        <f>SUM(F45:G45)</f>
        <v>5015</v>
      </c>
      <c r="I45" s="231">
        <f>IFERROR(F45/C45,0)</f>
        <v>1.1541893901834408</v>
      </c>
      <c r="J45" s="231">
        <f t="shared" ref="J45:K45" si="24">IFERROR(G45/D45,0)</f>
        <v>0.96273737011823723</v>
      </c>
      <c r="K45" s="231">
        <f t="shared" si="24"/>
        <v>1.0430532445923462</v>
      </c>
      <c r="L45" s="32">
        <v>685</v>
      </c>
      <c r="M45" s="33">
        <v>93</v>
      </c>
      <c r="N45" s="34">
        <v>108</v>
      </c>
      <c r="O45" s="35">
        <v>116</v>
      </c>
      <c r="P45" s="36">
        <f>762-33</f>
        <v>729</v>
      </c>
      <c r="Q45" s="37">
        <f>470+33</f>
        <v>503</v>
      </c>
      <c r="R45" s="34">
        <f>1176-370</f>
        <v>806</v>
      </c>
      <c r="S45" s="35">
        <f>1605+370</f>
        <v>1975</v>
      </c>
      <c r="T45" s="38"/>
      <c r="U45" s="39"/>
      <c r="V45" s="38"/>
      <c r="W45" s="39"/>
      <c r="X45" s="38"/>
      <c r="Y45" s="40"/>
      <c r="Z45" s="38"/>
      <c r="AA45" s="41"/>
      <c r="AB45" s="462">
        <f t="shared" ref="AB45" si="25">IFERROR(E45/$E$36,0)</f>
        <v>0.25782925782925781</v>
      </c>
      <c r="AC45" s="462">
        <f t="shared" ref="AC45" si="26">IFERROR(H45/$H$36,0)</f>
        <v>0.26159303114078558</v>
      </c>
      <c r="BG45" s="116"/>
      <c r="BH45" s="116"/>
      <c r="DQ45" s="480"/>
      <c r="DR45" s="480"/>
    </row>
    <row r="46" spans="1:123" ht="67.5" customHeight="1" thickBot="1" x14ac:dyDescent="0.3">
      <c r="A46" s="748" t="s">
        <v>196</v>
      </c>
      <c r="B46" s="749"/>
      <c r="C46" s="489">
        <f>'2021-22 ERC'!F39</f>
        <v>664</v>
      </c>
      <c r="D46" s="489">
        <f>'2021-22 ERC'!G39</f>
        <v>1487</v>
      </c>
      <c r="E46" s="199">
        <f t="shared" ref="E46:E56" si="27">SUM(C46:D46)</f>
        <v>2151</v>
      </c>
      <c r="F46" s="230">
        <f>T46+V46+X46+Z46</f>
        <v>705</v>
      </c>
      <c r="G46" s="230">
        <f>U46+W46+Y46+AA46</f>
        <v>1082</v>
      </c>
      <c r="H46" s="230">
        <f t="shared" ref="H46:H56" si="28">SUM(F46:G46)</f>
        <v>1787</v>
      </c>
      <c r="I46" s="231">
        <f t="shared" ref="I46:I70" si="29">IFERROR(F46/C46,0)</f>
        <v>1.0617469879518073</v>
      </c>
      <c r="J46" s="231">
        <f t="shared" ref="J46:J70" si="30">IFERROR(G46/D46,0)</f>
        <v>0.72763954270342968</v>
      </c>
      <c r="K46" s="231">
        <f t="shared" ref="K46:K70" si="31">IFERROR(H46/E46,0)</f>
        <v>0.83077638307763835</v>
      </c>
      <c r="L46" s="42"/>
      <c r="M46" s="43"/>
      <c r="N46" s="44"/>
      <c r="O46" s="43"/>
      <c r="P46" s="44"/>
      <c r="Q46" s="43"/>
      <c r="R46" s="44"/>
      <c r="S46" s="43"/>
      <c r="T46" s="32">
        <v>314</v>
      </c>
      <c r="U46" s="45">
        <v>51</v>
      </c>
      <c r="V46" s="46">
        <v>288</v>
      </c>
      <c r="W46" s="46">
        <v>913</v>
      </c>
      <c r="X46" s="46">
        <v>103</v>
      </c>
      <c r="Y46" s="46">
        <v>118</v>
      </c>
      <c r="Z46" s="46"/>
      <c r="AA46" s="35"/>
      <c r="AB46" s="462">
        <f t="shared" ref="AB46:AB67" si="32">IFERROR(E46/$E$36,0)</f>
        <v>0.11534749034749035</v>
      </c>
      <c r="AC46" s="462">
        <f t="shared" ref="AC46:AC67" si="33">IFERROR(H46/$H$36,0)</f>
        <v>9.3213708205101456E-2</v>
      </c>
      <c r="BG46" s="116"/>
      <c r="BH46" s="116"/>
      <c r="DQ46" s="480"/>
      <c r="DR46" s="480"/>
    </row>
    <row r="47" spans="1:123" ht="15.75" customHeight="1" thickBot="1" x14ac:dyDescent="0.3">
      <c r="A47" s="750" t="s">
        <v>197</v>
      </c>
      <c r="B47" s="59" t="s">
        <v>198</v>
      </c>
      <c r="C47" s="489">
        <f>'2021-22 ERC'!F40</f>
        <v>755</v>
      </c>
      <c r="D47" s="489">
        <f>'2021-22 ERC'!G40</f>
        <v>0</v>
      </c>
      <c r="E47" s="199">
        <f t="shared" si="27"/>
        <v>755</v>
      </c>
      <c r="F47" s="230">
        <f>L47+N47+P47+R47+T47+V47+X47+Z47</f>
        <v>1355</v>
      </c>
      <c r="G47" s="230">
        <f>M47+O47+Q47+S47+U47+W47+Y47+AA47</f>
        <v>93</v>
      </c>
      <c r="H47" s="230">
        <f>SUM(F47:G47)</f>
        <v>1448</v>
      </c>
      <c r="I47" s="231">
        <f t="shared" si="29"/>
        <v>1.7947019867549669</v>
      </c>
      <c r="J47" s="231">
        <f t="shared" si="30"/>
        <v>0</v>
      </c>
      <c r="K47" s="231">
        <f t="shared" si="31"/>
        <v>1.9178807947019867</v>
      </c>
      <c r="L47" s="32">
        <v>715</v>
      </c>
      <c r="M47" s="33"/>
      <c r="N47" s="34">
        <v>13</v>
      </c>
      <c r="O47" s="35"/>
      <c r="P47" s="36">
        <v>319</v>
      </c>
      <c r="Q47" s="37">
        <v>8</v>
      </c>
      <c r="R47" s="34">
        <v>88</v>
      </c>
      <c r="S47" s="35">
        <v>80</v>
      </c>
      <c r="T47" s="32">
        <v>189</v>
      </c>
      <c r="U47" s="45"/>
      <c r="V47" s="46">
        <v>18</v>
      </c>
      <c r="W47" s="46">
        <v>5</v>
      </c>
      <c r="X47" s="46">
        <v>2</v>
      </c>
      <c r="Y47" s="46"/>
      <c r="Z47" s="46">
        <v>11</v>
      </c>
      <c r="AA47" s="35"/>
      <c r="AB47" s="462">
        <f t="shared" si="32"/>
        <v>4.0486915486915485E-2</v>
      </c>
      <c r="AC47" s="462">
        <f t="shared" si="33"/>
        <v>7.5530749569662506E-2</v>
      </c>
      <c r="BG47" s="116"/>
      <c r="BH47" s="116"/>
      <c r="DQ47" s="480"/>
      <c r="DR47" s="480"/>
    </row>
    <row r="48" spans="1:123" ht="34.5" customHeight="1" thickBot="1" x14ac:dyDescent="0.3">
      <c r="A48" s="751"/>
      <c r="B48" s="60" t="s">
        <v>199</v>
      </c>
      <c r="C48" s="489">
        <f>'2021-22 ERC'!F41</f>
        <v>437</v>
      </c>
      <c r="D48" s="489">
        <f>'2021-22 ERC'!G41</f>
        <v>0</v>
      </c>
      <c r="E48" s="199">
        <f>SUM(C48:D48)</f>
        <v>437</v>
      </c>
      <c r="F48" s="230">
        <f>L48+N48+P48+R48+T48+V48+X48+Z48</f>
        <v>38</v>
      </c>
      <c r="G48" s="230">
        <f>M48+O48+Q48+S48+U48+W48+Y48+AA48</f>
        <v>0</v>
      </c>
      <c r="H48" s="230">
        <f>SUM(F48:G48)</f>
        <v>38</v>
      </c>
      <c r="I48" s="231">
        <f t="shared" si="29"/>
        <v>8.6956521739130432E-2</v>
      </c>
      <c r="J48" s="231">
        <f t="shared" si="30"/>
        <v>0</v>
      </c>
      <c r="K48" s="231">
        <f t="shared" si="31"/>
        <v>8.6956521739130432E-2</v>
      </c>
      <c r="L48" s="32">
        <v>38</v>
      </c>
      <c r="M48" s="33"/>
      <c r="N48" s="34"/>
      <c r="O48" s="35"/>
      <c r="P48" s="36"/>
      <c r="Q48" s="37"/>
      <c r="R48" s="34"/>
      <c r="S48" s="35"/>
      <c r="T48" s="32"/>
      <c r="U48" s="45"/>
      <c r="V48" s="46"/>
      <c r="W48" s="46"/>
      <c r="X48" s="46"/>
      <c r="Y48" s="46"/>
      <c r="Z48" s="46"/>
      <c r="AA48" s="35"/>
      <c r="AB48" s="462">
        <f t="shared" si="32"/>
        <v>2.3434148434148434E-2</v>
      </c>
      <c r="AC48" s="462">
        <f t="shared" si="33"/>
        <v>1.9821605550049554E-3</v>
      </c>
      <c r="BG48" s="116"/>
      <c r="BH48" s="116"/>
      <c r="DQ48" s="480"/>
      <c r="DR48" s="480"/>
    </row>
    <row r="49" spans="1:122" ht="30.75" customHeight="1" thickBot="1" x14ac:dyDescent="0.3">
      <c r="A49" s="767" t="s">
        <v>200</v>
      </c>
      <c r="B49" s="47" t="s">
        <v>201</v>
      </c>
      <c r="C49" s="489">
        <f>'2021-22 ERC'!F42</f>
        <v>0</v>
      </c>
      <c r="D49" s="489">
        <f>'2021-22 ERC'!G42</f>
        <v>0</v>
      </c>
      <c r="E49" s="199">
        <f t="shared" si="27"/>
        <v>0</v>
      </c>
      <c r="F49" s="230">
        <f t="shared" ref="F49:G53" si="34">L49+N49+P49+R49+T49+V49+X49+Z49</f>
        <v>0</v>
      </c>
      <c r="G49" s="230">
        <f t="shared" si="34"/>
        <v>0</v>
      </c>
      <c r="H49" s="230">
        <f>SUM(F49:G49)</f>
        <v>0</v>
      </c>
      <c r="I49" s="231">
        <f t="shared" si="29"/>
        <v>0</v>
      </c>
      <c r="J49" s="231">
        <f t="shared" si="30"/>
        <v>0</v>
      </c>
      <c r="K49" s="231">
        <f t="shared" si="31"/>
        <v>0</v>
      </c>
      <c r="L49" s="32"/>
      <c r="M49" s="33"/>
      <c r="N49" s="34"/>
      <c r="O49" s="35"/>
      <c r="P49" s="36"/>
      <c r="Q49" s="37"/>
      <c r="R49" s="34"/>
      <c r="S49" s="35"/>
      <c r="T49" s="32"/>
      <c r="U49" s="45"/>
      <c r="V49" s="46"/>
      <c r="W49" s="46"/>
      <c r="X49" s="46"/>
      <c r="Y49" s="46"/>
      <c r="Z49" s="46"/>
      <c r="AA49" s="35"/>
      <c r="AB49" s="462">
        <f t="shared" si="32"/>
        <v>0</v>
      </c>
      <c r="AC49" s="462">
        <f t="shared" si="33"/>
        <v>0</v>
      </c>
      <c r="BG49" s="116"/>
      <c r="BH49" s="116"/>
      <c r="DQ49" s="480"/>
      <c r="DR49" s="480"/>
    </row>
    <row r="50" spans="1:122" ht="30.75" thickBot="1" x14ac:dyDescent="0.3">
      <c r="A50" s="768"/>
      <c r="B50" s="48" t="s">
        <v>133</v>
      </c>
      <c r="C50" s="489">
        <f>'2021-22 ERC'!F43</f>
        <v>0</v>
      </c>
      <c r="D50" s="489">
        <f>'2021-22 ERC'!G43</f>
        <v>0</v>
      </c>
      <c r="E50" s="199">
        <f t="shared" si="27"/>
        <v>0</v>
      </c>
      <c r="F50" s="230">
        <f t="shared" si="34"/>
        <v>0</v>
      </c>
      <c r="G50" s="230">
        <f t="shared" si="34"/>
        <v>0</v>
      </c>
      <c r="H50" s="230">
        <f t="shared" si="28"/>
        <v>0</v>
      </c>
      <c r="I50" s="231">
        <f t="shared" si="29"/>
        <v>0</v>
      </c>
      <c r="J50" s="231">
        <f t="shared" si="30"/>
        <v>0</v>
      </c>
      <c r="K50" s="231">
        <f t="shared" si="31"/>
        <v>0</v>
      </c>
      <c r="L50" s="32"/>
      <c r="M50" s="33"/>
      <c r="N50" s="34"/>
      <c r="O50" s="35"/>
      <c r="P50" s="36"/>
      <c r="Q50" s="37"/>
      <c r="R50" s="34"/>
      <c r="S50" s="35"/>
      <c r="T50" s="32"/>
      <c r="U50" s="45"/>
      <c r="V50" s="46"/>
      <c r="W50" s="46"/>
      <c r="X50" s="46"/>
      <c r="Y50" s="46"/>
      <c r="Z50" s="46"/>
      <c r="AA50" s="35"/>
      <c r="AB50" s="462">
        <f t="shared" si="32"/>
        <v>0</v>
      </c>
      <c r="AC50" s="462">
        <f t="shared" si="33"/>
        <v>0</v>
      </c>
      <c r="BG50" s="116"/>
      <c r="BH50" s="116"/>
      <c r="DQ50" s="480"/>
      <c r="DR50" s="480"/>
    </row>
    <row r="51" spans="1:122" ht="15.75" thickBot="1" x14ac:dyDescent="0.3">
      <c r="A51" s="768"/>
      <c r="B51" s="49" t="s">
        <v>202</v>
      </c>
      <c r="C51" s="489">
        <f>'2021-22 ERC'!F44</f>
        <v>400</v>
      </c>
      <c r="D51" s="489">
        <f>'2021-22 ERC'!G44</f>
        <v>0</v>
      </c>
      <c r="E51" s="199">
        <f t="shared" si="27"/>
        <v>400</v>
      </c>
      <c r="F51" s="230">
        <f t="shared" si="34"/>
        <v>379</v>
      </c>
      <c r="G51" s="230">
        <f t="shared" si="34"/>
        <v>0</v>
      </c>
      <c r="H51" s="230">
        <f>SUM(F51:G51)</f>
        <v>379</v>
      </c>
      <c r="I51" s="231">
        <f t="shared" si="29"/>
        <v>0.94750000000000001</v>
      </c>
      <c r="J51" s="231">
        <f t="shared" si="30"/>
        <v>0</v>
      </c>
      <c r="K51" s="231">
        <f t="shared" si="31"/>
        <v>0.94750000000000001</v>
      </c>
      <c r="L51" s="32">
        <v>379</v>
      </c>
      <c r="M51" s="33"/>
      <c r="N51" s="34"/>
      <c r="O51" s="35"/>
      <c r="P51" s="36"/>
      <c r="Q51" s="37"/>
      <c r="R51" s="34"/>
      <c r="S51" s="35"/>
      <c r="T51" s="32"/>
      <c r="U51" s="45"/>
      <c r="V51" s="46"/>
      <c r="W51" s="46"/>
      <c r="X51" s="46"/>
      <c r="Y51" s="46"/>
      <c r="Z51" s="46"/>
      <c r="AA51" s="35"/>
      <c r="AB51" s="462">
        <f t="shared" si="32"/>
        <v>2.145002145002145E-2</v>
      </c>
      <c r="AC51" s="462">
        <f t="shared" si="33"/>
        <v>1.9769443430181003E-2</v>
      </c>
      <c r="BG51" s="116"/>
      <c r="BH51" s="116"/>
      <c r="DQ51" s="480"/>
      <c r="DR51" s="480"/>
    </row>
    <row r="52" spans="1:122" ht="15.75" thickBot="1" x14ac:dyDescent="0.3">
      <c r="A52" s="768"/>
      <c r="B52" s="50" t="s">
        <v>135</v>
      </c>
      <c r="C52" s="489">
        <f>'2021-22 ERC'!F45</f>
        <v>0</v>
      </c>
      <c r="D52" s="489">
        <f>'2021-22 ERC'!G45</f>
        <v>0</v>
      </c>
      <c r="E52" s="199">
        <f t="shared" si="27"/>
        <v>0</v>
      </c>
      <c r="F52" s="230">
        <f t="shared" si="34"/>
        <v>0</v>
      </c>
      <c r="G52" s="230">
        <f t="shared" si="34"/>
        <v>0</v>
      </c>
      <c r="H52" s="230">
        <f t="shared" si="28"/>
        <v>0</v>
      </c>
      <c r="I52" s="231">
        <f t="shared" si="29"/>
        <v>0</v>
      </c>
      <c r="J52" s="231">
        <f t="shared" si="30"/>
        <v>0</v>
      </c>
      <c r="K52" s="231">
        <f t="shared" si="31"/>
        <v>0</v>
      </c>
      <c r="L52" s="32"/>
      <c r="M52" s="33"/>
      <c r="N52" s="34"/>
      <c r="O52" s="35"/>
      <c r="P52" s="36"/>
      <c r="Q52" s="37"/>
      <c r="R52" s="34"/>
      <c r="S52" s="35"/>
      <c r="T52" s="32"/>
      <c r="U52" s="45"/>
      <c r="V52" s="46"/>
      <c r="W52" s="46"/>
      <c r="X52" s="46"/>
      <c r="Y52" s="46"/>
      <c r="Z52" s="46"/>
      <c r="AA52" s="35"/>
      <c r="AB52" s="462">
        <f t="shared" si="32"/>
        <v>0</v>
      </c>
      <c r="AC52" s="462">
        <f t="shared" si="33"/>
        <v>0</v>
      </c>
      <c r="BG52" s="116"/>
      <c r="BH52" s="116"/>
      <c r="DQ52" s="480"/>
      <c r="DR52" s="480"/>
    </row>
    <row r="53" spans="1:122" ht="15.75" thickBot="1" x14ac:dyDescent="0.3">
      <c r="A53" s="768"/>
      <c r="B53" s="50" t="s">
        <v>203</v>
      </c>
      <c r="C53" s="489">
        <f>'2021-22 ERC'!F46</f>
        <v>260</v>
      </c>
      <c r="D53" s="489">
        <f>'2021-22 ERC'!G46</f>
        <v>0</v>
      </c>
      <c r="E53" s="199">
        <f t="shared" si="27"/>
        <v>260</v>
      </c>
      <c r="F53" s="230">
        <f t="shared" si="34"/>
        <v>236</v>
      </c>
      <c r="G53" s="230">
        <f t="shared" si="34"/>
        <v>3</v>
      </c>
      <c r="H53" s="230">
        <f t="shared" si="28"/>
        <v>239</v>
      </c>
      <c r="I53" s="231">
        <f t="shared" si="29"/>
        <v>0.90769230769230769</v>
      </c>
      <c r="J53" s="231">
        <f t="shared" si="30"/>
        <v>0</v>
      </c>
      <c r="K53" s="231">
        <f t="shared" si="31"/>
        <v>0.91923076923076918</v>
      </c>
      <c r="L53" s="32">
        <v>1</v>
      </c>
      <c r="M53" s="33"/>
      <c r="N53" s="34"/>
      <c r="O53" s="35"/>
      <c r="P53" s="36">
        <v>69</v>
      </c>
      <c r="Q53" s="37"/>
      <c r="R53" s="34">
        <v>89</v>
      </c>
      <c r="S53" s="35">
        <v>3</v>
      </c>
      <c r="T53" s="32">
        <v>20</v>
      </c>
      <c r="U53" s="45"/>
      <c r="V53" s="46">
        <v>38</v>
      </c>
      <c r="W53" s="46"/>
      <c r="X53" s="46">
        <v>17</v>
      </c>
      <c r="Y53" s="46"/>
      <c r="Z53" s="46">
        <v>2</v>
      </c>
      <c r="AA53" s="35"/>
      <c r="AB53" s="462">
        <f t="shared" si="32"/>
        <v>1.3942513942513942E-2</v>
      </c>
      <c r="AC53" s="462">
        <f t="shared" si="33"/>
        <v>1.2466746648583799E-2</v>
      </c>
      <c r="BG53" s="116"/>
      <c r="BH53" s="116"/>
      <c r="DQ53" s="480"/>
      <c r="DR53" s="480"/>
    </row>
    <row r="54" spans="1:122" ht="15.75" customHeight="1" thickBot="1" x14ac:dyDescent="0.3">
      <c r="A54" s="754" t="s">
        <v>204</v>
      </c>
      <c r="B54" s="755"/>
      <c r="C54" s="489">
        <f>'2021-22 ERC'!F47</f>
        <v>257</v>
      </c>
      <c r="D54" s="489">
        <f>'2021-22 ERC'!G47</f>
        <v>0</v>
      </c>
      <c r="E54" s="199">
        <f t="shared" si="27"/>
        <v>257</v>
      </c>
      <c r="F54" s="230">
        <f>L54+N54+P54+R54</f>
        <v>239</v>
      </c>
      <c r="G54" s="230">
        <f>M54+O54+Q54+S54</f>
        <v>8</v>
      </c>
      <c r="H54" s="230">
        <f t="shared" si="28"/>
        <v>247</v>
      </c>
      <c r="I54" s="231">
        <f t="shared" si="29"/>
        <v>0.92996108949416345</v>
      </c>
      <c r="J54" s="231">
        <f t="shared" si="30"/>
        <v>0</v>
      </c>
      <c r="K54" s="231">
        <f t="shared" si="31"/>
        <v>0.96108949416342415</v>
      </c>
      <c r="L54" s="51">
        <v>45</v>
      </c>
      <c r="M54" s="52"/>
      <c r="N54" s="53">
        <v>3</v>
      </c>
      <c r="O54" s="54"/>
      <c r="P54" s="53">
        <v>14</v>
      </c>
      <c r="Q54" s="54"/>
      <c r="R54" s="53">
        <v>177</v>
      </c>
      <c r="S54" s="54">
        <v>8</v>
      </c>
      <c r="T54" s="55"/>
      <c r="U54" s="56"/>
      <c r="V54" s="55"/>
      <c r="W54" s="56"/>
      <c r="X54" s="55"/>
      <c r="Y54" s="57"/>
      <c r="Z54" s="55"/>
      <c r="AA54" s="58"/>
      <c r="AB54" s="462">
        <f t="shared" si="32"/>
        <v>1.3781638781638782E-2</v>
      </c>
      <c r="AC54" s="462">
        <f t="shared" si="33"/>
        <v>1.288404360753221E-2</v>
      </c>
      <c r="BG54" s="116"/>
      <c r="BH54" s="116"/>
      <c r="DQ54" s="480"/>
      <c r="DR54" s="480"/>
    </row>
    <row r="55" spans="1:122" s="488" customFormat="1" ht="15.75" thickBot="1" x14ac:dyDescent="0.3">
      <c r="A55" s="756" t="s">
        <v>205</v>
      </c>
      <c r="B55" s="59" t="s">
        <v>206</v>
      </c>
      <c r="C55" s="489">
        <f>'2021-22 ERC'!F48</f>
        <v>77</v>
      </c>
      <c r="D55" s="489">
        <f>'2021-22 ERC'!G48</f>
        <v>0</v>
      </c>
      <c r="E55" s="199">
        <f t="shared" si="27"/>
        <v>77</v>
      </c>
      <c r="F55" s="230">
        <f t="shared" ref="F55:G56" si="35">L55+N55+P55+R55+T55+V55+X55+Z55</f>
        <v>29</v>
      </c>
      <c r="G55" s="230">
        <f t="shared" si="35"/>
        <v>13</v>
      </c>
      <c r="H55" s="230">
        <f>SUM(F55:G55)</f>
        <v>42</v>
      </c>
      <c r="I55" s="231">
        <f t="shared" si="29"/>
        <v>0.37662337662337664</v>
      </c>
      <c r="J55" s="231">
        <f t="shared" si="30"/>
        <v>0</v>
      </c>
      <c r="K55" s="231">
        <f t="shared" si="31"/>
        <v>0.54545454545454541</v>
      </c>
      <c r="L55" s="34">
        <v>6</v>
      </c>
      <c r="M55" s="46"/>
      <c r="N55" s="34">
        <v>23</v>
      </c>
      <c r="O55" s="46">
        <v>13</v>
      </c>
      <c r="P55" s="34"/>
      <c r="Q55" s="37"/>
      <c r="R55" s="34"/>
      <c r="S55" s="35"/>
      <c r="T55" s="34"/>
      <c r="U55" s="46"/>
      <c r="V55" s="34"/>
      <c r="W55" s="46"/>
      <c r="X55" s="34"/>
      <c r="Y55" s="37"/>
      <c r="Z55" s="34"/>
      <c r="AA55" s="35"/>
      <c r="AB55" s="462">
        <f t="shared" si="32"/>
        <v>4.1291291291291289E-3</v>
      </c>
      <c r="AC55" s="462">
        <f t="shared" si="33"/>
        <v>2.1908090344791614E-3</v>
      </c>
      <c r="AD55" s="116"/>
      <c r="AE55" s="487"/>
      <c r="AF55" s="487"/>
      <c r="AG55" s="487"/>
      <c r="AH55" s="487"/>
      <c r="AI55" s="487"/>
      <c r="AJ55" s="487"/>
      <c r="AK55" s="487"/>
      <c r="AL55" s="487"/>
      <c r="AM55" s="487"/>
      <c r="AN55" s="487"/>
      <c r="AO55" s="487"/>
      <c r="AP55" s="487"/>
      <c r="AQ55" s="487"/>
      <c r="AR55" s="487"/>
      <c r="AS55" s="487"/>
      <c r="AT55" s="487"/>
      <c r="AU55" s="487"/>
      <c r="AV55" s="487"/>
      <c r="AW55" s="487"/>
      <c r="AX55" s="487"/>
      <c r="AY55" s="487"/>
      <c r="AZ55" s="487"/>
      <c r="BA55" s="487"/>
      <c r="BB55" s="487"/>
      <c r="BC55" s="487"/>
      <c r="BD55" s="487"/>
      <c r="BE55" s="487"/>
      <c r="BF55" s="487"/>
      <c r="BG55" s="487"/>
      <c r="BH55" s="487"/>
      <c r="BI55" s="487"/>
      <c r="BJ55" s="487"/>
      <c r="BK55" s="487"/>
      <c r="BL55" s="487"/>
      <c r="BM55" s="487"/>
      <c r="BN55" s="487"/>
      <c r="BO55" s="487"/>
      <c r="BP55" s="487"/>
      <c r="BQ55" s="487"/>
      <c r="BR55" s="487"/>
      <c r="BS55" s="487"/>
      <c r="BT55" s="487"/>
      <c r="BU55" s="487"/>
      <c r="BV55" s="487"/>
      <c r="BW55" s="487"/>
      <c r="BX55" s="487"/>
      <c r="BY55" s="487"/>
      <c r="BZ55" s="487"/>
    </row>
    <row r="56" spans="1:122" s="488" customFormat="1" ht="15.75" thickBot="1" x14ac:dyDescent="0.3">
      <c r="A56" s="753"/>
      <c r="B56" s="59" t="s">
        <v>140</v>
      </c>
      <c r="C56" s="489">
        <f>'2021-22 ERC'!F49</f>
        <v>45</v>
      </c>
      <c r="D56" s="489">
        <f>'2021-22 ERC'!G49</f>
        <v>0</v>
      </c>
      <c r="E56" s="199">
        <f t="shared" si="27"/>
        <v>45</v>
      </c>
      <c r="F56" s="230">
        <f t="shared" si="35"/>
        <v>99</v>
      </c>
      <c r="G56" s="230">
        <f t="shared" si="35"/>
        <v>0</v>
      </c>
      <c r="H56" s="230">
        <f t="shared" si="28"/>
        <v>99</v>
      </c>
      <c r="I56" s="231">
        <f t="shared" si="29"/>
        <v>2.2000000000000002</v>
      </c>
      <c r="J56" s="231">
        <f t="shared" si="30"/>
        <v>0</v>
      </c>
      <c r="K56" s="231">
        <f t="shared" si="31"/>
        <v>2.2000000000000002</v>
      </c>
      <c r="L56" s="34">
        <v>59</v>
      </c>
      <c r="M56" s="46"/>
      <c r="N56" s="34"/>
      <c r="O56" s="46"/>
      <c r="P56" s="34">
        <v>38</v>
      </c>
      <c r="Q56" s="37"/>
      <c r="R56" s="34">
        <v>2</v>
      </c>
      <c r="S56" s="35"/>
      <c r="T56" s="34"/>
      <c r="U56" s="46"/>
      <c r="V56" s="34"/>
      <c r="W56" s="46"/>
      <c r="X56" s="34"/>
      <c r="Y56" s="37"/>
      <c r="Z56" s="34"/>
      <c r="AA56" s="35"/>
      <c r="AB56" s="462">
        <f t="shared" si="32"/>
        <v>2.4131274131274131E-3</v>
      </c>
      <c r="AC56" s="462">
        <f t="shared" si="33"/>
        <v>5.164049866986594E-3</v>
      </c>
      <c r="AD56" s="116"/>
      <c r="AE56" s="487"/>
      <c r="AF56" s="487"/>
      <c r="AG56" s="487"/>
      <c r="AH56" s="487"/>
      <c r="AI56" s="487"/>
      <c r="AJ56" s="487"/>
      <c r="AK56" s="487"/>
      <c r="AL56" s="487"/>
      <c r="AM56" s="487"/>
      <c r="AN56" s="487"/>
      <c r="AO56" s="487"/>
      <c r="AP56" s="487"/>
      <c r="AQ56" s="487"/>
      <c r="AR56" s="487"/>
      <c r="AS56" s="487"/>
      <c r="AT56" s="487"/>
      <c r="AU56" s="487"/>
      <c r="AV56" s="487"/>
      <c r="AW56" s="487"/>
      <c r="AX56" s="487"/>
      <c r="AY56" s="487"/>
      <c r="AZ56" s="487"/>
      <c r="BA56" s="487"/>
      <c r="BB56" s="487"/>
      <c r="BC56" s="487"/>
      <c r="BD56" s="487"/>
      <c r="BE56" s="487"/>
      <c r="BF56" s="487"/>
      <c r="BG56" s="487"/>
      <c r="BH56" s="487"/>
      <c r="BI56" s="487"/>
      <c r="BJ56" s="487"/>
      <c r="BK56" s="487"/>
      <c r="BL56" s="487"/>
      <c r="BM56" s="487"/>
      <c r="BN56" s="487"/>
      <c r="BO56" s="487"/>
      <c r="BP56" s="487"/>
      <c r="BQ56" s="487"/>
      <c r="BR56" s="487"/>
      <c r="BS56" s="487"/>
      <c r="BT56" s="487"/>
      <c r="BU56" s="487"/>
      <c r="BV56" s="487"/>
      <c r="BW56" s="487"/>
      <c r="BX56" s="487"/>
      <c r="BY56" s="487"/>
      <c r="BZ56" s="487"/>
    </row>
    <row r="57" spans="1:122" s="488" customFormat="1" ht="15.75" thickBot="1" x14ac:dyDescent="0.3">
      <c r="A57" s="753"/>
      <c r="B57" s="50" t="s">
        <v>141</v>
      </c>
      <c r="C57" s="489">
        <f>'2021-22 ERC'!F50</f>
        <v>0</v>
      </c>
      <c r="D57" s="489">
        <f>'2021-22 ERC'!G50</f>
        <v>0</v>
      </c>
      <c r="E57" s="199">
        <f>SUM(C57:D57)</f>
        <v>0</v>
      </c>
      <c r="F57" s="230">
        <f>L57+N57+P57+R57+T57+V57+X57+Z57</f>
        <v>26</v>
      </c>
      <c r="G57" s="230">
        <f>M57+O57+Q57+S57+U57+W57+Y57+AA57</f>
        <v>0</v>
      </c>
      <c r="H57" s="230">
        <f>SUM(F57:G57)</f>
        <v>26</v>
      </c>
      <c r="I57" s="231">
        <f t="shared" si="29"/>
        <v>0</v>
      </c>
      <c r="J57" s="231">
        <f t="shared" si="30"/>
        <v>0</v>
      </c>
      <c r="K57" s="231">
        <f t="shared" si="31"/>
        <v>0</v>
      </c>
      <c r="L57" s="32"/>
      <c r="M57" s="33"/>
      <c r="N57" s="34"/>
      <c r="O57" s="35"/>
      <c r="P57" s="36">
        <v>13</v>
      </c>
      <c r="Q57" s="37"/>
      <c r="R57" s="34">
        <v>13</v>
      </c>
      <c r="S57" s="35"/>
      <c r="T57" s="32"/>
      <c r="U57" s="45"/>
      <c r="V57" s="46"/>
      <c r="W57" s="46"/>
      <c r="X57" s="46"/>
      <c r="Y57" s="46"/>
      <c r="Z57" s="46"/>
      <c r="AA57" s="35"/>
      <c r="AB57" s="462">
        <f t="shared" si="32"/>
        <v>0</v>
      </c>
      <c r="AC57" s="462">
        <f t="shared" si="33"/>
        <v>1.356215116582338E-3</v>
      </c>
      <c r="AD57" s="116"/>
      <c r="AE57" s="487"/>
      <c r="AF57" s="487"/>
      <c r="AG57" s="487"/>
      <c r="AH57" s="487"/>
      <c r="AI57" s="487"/>
      <c r="AJ57" s="487"/>
      <c r="AK57" s="487"/>
      <c r="AL57" s="487"/>
      <c r="AM57" s="487"/>
      <c r="AN57" s="487"/>
      <c r="AO57" s="487"/>
      <c r="AP57" s="487"/>
      <c r="AQ57" s="487"/>
      <c r="AR57" s="487"/>
      <c r="AS57" s="487"/>
      <c r="AT57" s="487"/>
      <c r="AU57" s="487"/>
      <c r="AV57" s="487"/>
      <c r="AW57" s="487"/>
      <c r="AX57" s="487"/>
      <c r="AY57" s="487"/>
      <c r="AZ57" s="487"/>
      <c r="BA57" s="487"/>
      <c r="BB57" s="487"/>
      <c r="BC57" s="487"/>
      <c r="BD57" s="487"/>
      <c r="BE57" s="487"/>
      <c r="BF57" s="487"/>
      <c r="BG57" s="487"/>
      <c r="BH57" s="487"/>
      <c r="BI57" s="487"/>
      <c r="BJ57" s="487"/>
      <c r="BK57" s="487"/>
      <c r="BL57" s="487"/>
      <c r="BM57" s="487"/>
      <c r="BN57" s="487"/>
      <c r="BO57" s="487"/>
      <c r="BP57" s="487"/>
      <c r="BQ57" s="487"/>
      <c r="BR57" s="487"/>
      <c r="BS57" s="487"/>
      <c r="BT57" s="487"/>
      <c r="BU57" s="487"/>
      <c r="BV57" s="487"/>
      <c r="BW57" s="487"/>
      <c r="BX57" s="487"/>
      <c r="BY57" s="487"/>
      <c r="BZ57" s="487"/>
    </row>
    <row r="58" spans="1:122" s="488" customFormat="1" ht="33" customHeight="1" thickBot="1" x14ac:dyDescent="0.3">
      <c r="A58" s="753"/>
      <c r="B58" s="60" t="s">
        <v>142</v>
      </c>
      <c r="C58" s="489">
        <f>'2021-22 ERC'!F51</f>
        <v>605</v>
      </c>
      <c r="D58" s="489">
        <f>'2021-22 ERC'!G51</f>
        <v>0</v>
      </c>
      <c r="E58" s="199">
        <f t="shared" ref="E58" si="36">SUM(C58:D58)</f>
        <v>605</v>
      </c>
      <c r="F58" s="230">
        <f t="shared" ref="F58:G58" si="37">L58+N58+P58+R58+T58+V58+X58+Z58</f>
        <v>399</v>
      </c>
      <c r="G58" s="230">
        <f t="shared" si="37"/>
        <v>0</v>
      </c>
      <c r="H58" s="230">
        <f t="shared" ref="H58" si="38">SUM(F58:G58)</f>
        <v>399</v>
      </c>
      <c r="I58" s="239">
        <f t="shared" si="29"/>
        <v>0.65950413223140492</v>
      </c>
      <c r="J58" s="239">
        <f t="shared" si="30"/>
        <v>0</v>
      </c>
      <c r="K58" s="239">
        <f t="shared" si="31"/>
        <v>0.65950413223140492</v>
      </c>
      <c r="L58" s="34">
        <v>26</v>
      </c>
      <c r="M58" s="46"/>
      <c r="N58" s="34"/>
      <c r="O58" s="46"/>
      <c r="P58" s="34">
        <v>210</v>
      </c>
      <c r="Q58" s="37"/>
      <c r="R58" s="34">
        <v>127</v>
      </c>
      <c r="S58" s="35"/>
      <c r="T58" s="34">
        <v>14</v>
      </c>
      <c r="U58" s="46"/>
      <c r="V58" s="34">
        <v>22</v>
      </c>
      <c r="W58" s="46"/>
      <c r="X58" s="34"/>
      <c r="Y58" s="37"/>
      <c r="Z58" s="34"/>
      <c r="AA58" s="35"/>
      <c r="AB58" s="462">
        <f t="shared" si="32"/>
        <v>3.2443157443157442E-2</v>
      </c>
      <c r="AC58" s="462">
        <f t="shared" si="33"/>
        <v>2.0812685827552031E-2</v>
      </c>
      <c r="AD58" s="116"/>
      <c r="AE58" s="487"/>
      <c r="AF58" s="487"/>
      <c r="AG58" s="487"/>
      <c r="AH58" s="487"/>
      <c r="AI58" s="487"/>
      <c r="AJ58" s="487"/>
      <c r="AK58" s="487"/>
      <c r="AL58" s="487"/>
      <c r="AM58" s="487"/>
      <c r="AN58" s="487"/>
      <c r="AO58" s="487"/>
      <c r="AP58" s="487"/>
      <c r="AQ58" s="487"/>
      <c r="AR58" s="487"/>
      <c r="AS58" s="487"/>
      <c r="AT58" s="487"/>
      <c r="AU58" s="487"/>
      <c r="AV58" s="487"/>
      <c r="AW58" s="487"/>
      <c r="AX58" s="487"/>
      <c r="AY58" s="487"/>
      <c r="AZ58" s="487"/>
      <c r="BA58" s="487"/>
      <c r="BB58" s="487"/>
      <c r="BC58" s="487"/>
      <c r="BD58" s="487"/>
      <c r="BE58" s="487"/>
      <c r="BF58" s="487"/>
      <c r="BG58" s="487"/>
      <c r="BH58" s="487"/>
      <c r="BI58" s="487"/>
      <c r="BJ58" s="487"/>
      <c r="BK58" s="487"/>
      <c r="BL58" s="487"/>
      <c r="BM58" s="487"/>
      <c r="BN58" s="487"/>
      <c r="BO58" s="487"/>
      <c r="BP58" s="487"/>
      <c r="BQ58" s="487"/>
      <c r="BR58" s="487"/>
      <c r="BS58" s="487"/>
      <c r="BT58" s="487"/>
      <c r="BU58" s="487"/>
      <c r="BV58" s="487"/>
      <c r="BW58" s="487"/>
      <c r="BX58" s="487"/>
      <c r="BY58" s="487"/>
      <c r="BZ58" s="487"/>
    </row>
    <row r="59" spans="1:122" s="480" customFormat="1" ht="16.5" thickTop="1" thickBot="1" x14ac:dyDescent="0.3">
      <c r="A59" s="769" t="s">
        <v>207</v>
      </c>
      <c r="B59" s="770"/>
      <c r="C59" s="489">
        <f>'2021-22 ERC'!F52</f>
        <v>4564</v>
      </c>
      <c r="D59" s="489">
        <f>'2021-22 ERC'!G52</f>
        <v>2791</v>
      </c>
      <c r="E59" s="202">
        <f>SUM(C59:D59)</f>
        <v>7355</v>
      </c>
      <c r="F59" s="240">
        <f>L59+N59+P59+R59</f>
        <v>4795</v>
      </c>
      <c r="G59" s="241">
        <f>M59+O59+Q59+S59</f>
        <v>2799</v>
      </c>
      <c r="H59" s="241">
        <f>SUM(F59:G59)</f>
        <v>7594</v>
      </c>
      <c r="I59" s="242">
        <f t="shared" si="29"/>
        <v>1.0506134969325154</v>
      </c>
      <c r="J59" s="242">
        <f t="shared" si="30"/>
        <v>1.0028663561447511</v>
      </c>
      <c r="K59" s="242">
        <f t="shared" si="31"/>
        <v>1.0324949014276004</v>
      </c>
      <c r="L59" s="244">
        <f>SUM(L45:L58)</f>
        <v>1954</v>
      </c>
      <c r="M59" s="244">
        <f t="shared" ref="M59:S59" si="39">SUM(M45:M58)</f>
        <v>93</v>
      </c>
      <c r="N59" s="244">
        <f t="shared" si="39"/>
        <v>147</v>
      </c>
      <c r="O59" s="244">
        <f t="shared" si="39"/>
        <v>129</v>
      </c>
      <c r="P59" s="244">
        <f t="shared" si="39"/>
        <v>1392</v>
      </c>
      <c r="Q59" s="244">
        <f>SUM(Q45:Q58)</f>
        <v>511</v>
      </c>
      <c r="R59" s="244">
        <f t="shared" si="39"/>
        <v>1302</v>
      </c>
      <c r="S59" s="244">
        <f t="shared" si="39"/>
        <v>2066</v>
      </c>
      <c r="T59" s="61"/>
      <c r="U59" s="62"/>
      <c r="V59" s="61"/>
      <c r="W59" s="62"/>
      <c r="X59" s="61"/>
      <c r="Y59" s="63"/>
      <c r="Z59" s="61"/>
      <c r="AA59" s="64"/>
      <c r="AB59" s="462">
        <f t="shared" si="32"/>
        <v>0.39441226941226942</v>
      </c>
      <c r="AC59" s="462">
        <f t="shared" si="33"/>
        <v>0.39611913828177975</v>
      </c>
      <c r="AD59" s="116"/>
    </row>
    <row r="60" spans="1:122" ht="15.75" thickBot="1" x14ac:dyDescent="0.3">
      <c r="A60" s="784" t="s">
        <v>208</v>
      </c>
      <c r="B60" s="785"/>
      <c r="C60" s="489">
        <f>'2021-22 ERC'!F53</f>
        <v>953</v>
      </c>
      <c r="D60" s="489">
        <f>'2021-22 ERC'!G53</f>
        <v>1487</v>
      </c>
      <c r="E60" s="203">
        <f>SUM(C60:D60)</f>
        <v>2440</v>
      </c>
      <c r="F60" s="243">
        <f>T60+V60+X60+Z60</f>
        <v>1038</v>
      </c>
      <c r="G60" s="230">
        <f>U60+W60+Y60+AA60</f>
        <v>1087</v>
      </c>
      <c r="H60" s="230">
        <f>SUM(F60:G60)</f>
        <v>2125</v>
      </c>
      <c r="I60" s="231">
        <f t="shared" si="29"/>
        <v>1.0891920251836307</v>
      </c>
      <c r="J60" s="231">
        <f t="shared" si="30"/>
        <v>0.73100201748486882</v>
      </c>
      <c r="K60" s="231">
        <f t="shared" si="31"/>
        <v>0.87090163934426235</v>
      </c>
      <c r="L60" s="42"/>
      <c r="M60" s="43"/>
      <c r="N60" s="44"/>
      <c r="O60" s="43"/>
      <c r="P60" s="44"/>
      <c r="Q60" s="43"/>
      <c r="R60" s="44"/>
      <c r="S60" s="43"/>
      <c r="T60" s="245">
        <f>SUM(T45:T59)</f>
        <v>537</v>
      </c>
      <c r="U60" s="245">
        <f t="shared" ref="U60:AA60" si="40">SUM(U45:U59)</f>
        <v>51</v>
      </c>
      <c r="V60" s="245">
        <f t="shared" si="40"/>
        <v>366</v>
      </c>
      <c r="W60" s="245">
        <f t="shared" si="40"/>
        <v>918</v>
      </c>
      <c r="X60" s="245">
        <f t="shared" si="40"/>
        <v>122</v>
      </c>
      <c r="Y60" s="245">
        <f t="shared" si="40"/>
        <v>118</v>
      </c>
      <c r="Z60" s="245">
        <f t="shared" si="40"/>
        <v>13</v>
      </c>
      <c r="AA60" s="245">
        <f t="shared" si="40"/>
        <v>0</v>
      </c>
      <c r="AB60" s="462">
        <f t="shared" si="32"/>
        <v>0.13084513084513086</v>
      </c>
      <c r="AC60" s="462">
        <f t="shared" si="33"/>
        <v>0.11084450472067185</v>
      </c>
      <c r="BG60" s="116"/>
      <c r="BH60" s="116"/>
      <c r="DQ60" s="480"/>
      <c r="DR60" s="480"/>
    </row>
    <row r="61" spans="1:122" ht="15.75" customHeight="1" thickBot="1" x14ac:dyDescent="0.3">
      <c r="A61" s="786" t="s">
        <v>209</v>
      </c>
      <c r="B61" s="65" t="s">
        <v>210</v>
      </c>
      <c r="C61" s="204"/>
      <c r="D61" s="204"/>
      <c r="E61" s="204"/>
      <c r="F61" s="67"/>
      <c r="G61" s="68"/>
      <c r="H61" s="69"/>
      <c r="I61" s="69"/>
      <c r="J61" s="69"/>
      <c r="K61" s="69"/>
      <c r="L61" s="70"/>
      <c r="M61" s="71"/>
      <c r="N61" s="72"/>
      <c r="O61" s="73"/>
      <c r="P61" s="72"/>
      <c r="Q61" s="73"/>
      <c r="R61" s="72"/>
      <c r="S61" s="73"/>
      <c r="T61" s="72"/>
      <c r="U61" s="73"/>
      <c r="V61" s="72"/>
      <c r="W61" s="73"/>
      <c r="X61" s="72"/>
      <c r="Y61" s="74"/>
      <c r="Z61" s="72"/>
      <c r="AA61" s="75"/>
      <c r="AB61" s="75"/>
      <c r="AC61" s="75"/>
      <c r="BG61" s="116"/>
      <c r="BH61" s="116"/>
      <c r="DQ61" s="480"/>
      <c r="DR61" s="480"/>
    </row>
    <row r="62" spans="1:122" ht="15.75" thickBot="1" x14ac:dyDescent="0.3">
      <c r="A62" s="787"/>
      <c r="B62" s="76" t="s">
        <v>211</v>
      </c>
      <c r="C62" s="496">
        <f>'2021-22 ERC'!F55</f>
        <v>0</v>
      </c>
      <c r="D62" s="496">
        <f>'2021-22 ERC'!G55</f>
        <v>32</v>
      </c>
      <c r="E62" s="194">
        <f>SUM(C62:D62)</f>
        <v>32</v>
      </c>
      <c r="F62" s="230">
        <f>L62+N62+P62+R62</f>
        <v>0</v>
      </c>
      <c r="G62" s="230">
        <f>M62+O62+Q62+S62</f>
        <v>36</v>
      </c>
      <c r="H62" s="230">
        <f>SUM(F62:G62)</f>
        <v>36</v>
      </c>
      <c r="I62" s="231">
        <f t="shared" si="29"/>
        <v>0</v>
      </c>
      <c r="J62" s="231">
        <f t="shared" si="30"/>
        <v>1.125</v>
      </c>
      <c r="K62" s="231">
        <f t="shared" si="31"/>
        <v>1.125</v>
      </c>
      <c r="L62" s="32"/>
      <c r="M62" s="105"/>
      <c r="N62" s="106"/>
      <c r="O62" s="45"/>
      <c r="P62" s="34"/>
      <c r="Q62" s="35">
        <v>36</v>
      </c>
      <c r="R62" s="34"/>
      <c r="S62" s="46"/>
      <c r="T62" s="77"/>
      <c r="U62" s="78"/>
      <c r="V62" s="77"/>
      <c r="W62" s="78"/>
      <c r="X62" s="77"/>
      <c r="Y62" s="79"/>
      <c r="Z62" s="77"/>
      <c r="AA62" s="80"/>
      <c r="AB62" s="462">
        <f t="shared" si="32"/>
        <v>1.716001716001716E-3</v>
      </c>
      <c r="AC62" s="462">
        <f t="shared" si="33"/>
        <v>1.8778363152678525E-3</v>
      </c>
      <c r="BG62" s="116"/>
      <c r="BH62" s="116"/>
      <c r="DQ62" s="480"/>
      <c r="DR62" s="480"/>
    </row>
    <row r="63" spans="1:122" ht="29.25" customHeight="1" thickBot="1" x14ac:dyDescent="0.3">
      <c r="A63" s="787"/>
      <c r="B63" s="81" t="s">
        <v>212</v>
      </c>
      <c r="C63" s="496">
        <f>'2021-22 ERC'!F56</f>
        <v>0</v>
      </c>
      <c r="D63" s="496">
        <f>'2021-22 ERC'!G56</f>
        <v>100</v>
      </c>
      <c r="E63" s="194">
        <f t="shared" ref="E63:E64" si="41">SUM(C63:D63)</f>
        <v>100</v>
      </c>
      <c r="F63" s="230">
        <f>L63+N63+P63</f>
        <v>0</v>
      </c>
      <c r="G63" s="230">
        <f>M63+O63+Q63</f>
        <v>0</v>
      </c>
      <c r="H63" s="230">
        <f t="shared" ref="H63:H64" si="42">SUM(F63:G63)</f>
        <v>0</v>
      </c>
      <c r="I63" s="231">
        <f t="shared" si="29"/>
        <v>0</v>
      </c>
      <c r="J63" s="231">
        <f t="shared" si="30"/>
        <v>0</v>
      </c>
      <c r="K63" s="231">
        <f t="shared" si="31"/>
        <v>0</v>
      </c>
      <c r="L63" s="83"/>
      <c r="M63" s="84"/>
      <c r="N63" s="85"/>
      <c r="O63" s="86"/>
      <c r="P63" s="34"/>
      <c r="Q63" s="35"/>
      <c r="R63" s="77"/>
      <c r="S63" s="78"/>
      <c r="T63" s="77"/>
      <c r="U63" s="78"/>
      <c r="V63" s="77"/>
      <c r="W63" s="78"/>
      <c r="X63" s="77"/>
      <c r="Y63" s="79"/>
      <c r="Z63" s="77"/>
      <c r="AA63" s="80"/>
      <c r="AB63" s="462">
        <f t="shared" si="32"/>
        <v>5.3625053625053626E-3</v>
      </c>
      <c r="AC63" s="462">
        <f t="shared" si="33"/>
        <v>0</v>
      </c>
      <c r="BG63" s="116"/>
      <c r="BH63" s="116"/>
      <c r="DQ63" s="480"/>
      <c r="DR63" s="480"/>
    </row>
    <row r="64" spans="1:122" ht="15.75" thickBot="1" x14ac:dyDescent="0.3">
      <c r="A64" s="787"/>
      <c r="B64" s="87" t="s">
        <v>213</v>
      </c>
      <c r="C64" s="496">
        <f>'2021-22 ERC'!F57</f>
        <v>0</v>
      </c>
      <c r="D64" s="496">
        <f>'2021-22 ERC'!G57</f>
        <v>134</v>
      </c>
      <c r="E64" s="194">
        <f t="shared" si="41"/>
        <v>134</v>
      </c>
      <c r="F64" s="230">
        <f>P64</f>
        <v>1</v>
      </c>
      <c r="G64" s="230">
        <f>Q64</f>
        <v>103</v>
      </c>
      <c r="H64" s="230">
        <f t="shared" si="42"/>
        <v>104</v>
      </c>
      <c r="I64" s="231">
        <f t="shared" si="29"/>
        <v>0</v>
      </c>
      <c r="J64" s="231">
        <f t="shared" si="30"/>
        <v>0.76865671641791045</v>
      </c>
      <c r="K64" s="231">
        <f t="shared" si="31"/>
        <v>0.77611940298507465</v>
      </c>
      <c r="L64" s="77"/>
      <c r="M64" s="78"/>
      <c r="N64" s="77"/>
      <c r="O64" s="78"/>
      <c r="P64" s="106">
        <v>1</v>
      </c>
      <c r="Q64" s="45">
        <v>103</v>
      </c>
      <c r="R64" s="77"/>
      <c r="S64" s="78"/>
      <c r="T64" s="77"/>
      <c r="U64" s="78"/>
      <c r="V64" s="77"/>
      <c r="W64" s="78"/>
      <c r="X64" s="77"/>
      <c r="Y64" s="79"/>
      <c r="Z64" s="77"/>
      <c r="AA64" s="80"/>
      <c r="AB64" s="462">
        <f t="shared" si="32"/>
        <v>7.1857571857571858E-3</v>
      </c>
      <c r="AC64" s="462">
        <f t="shared" si="33"/>
        <v>5.424860466329352E-3</v>
      </c>
      <c r="BG64" s="116"/>
      <c r="BH64" s="116"/>
      <c r="DQ64" s="480"/>
      <c r="DR64" s="480"/>
    </row>
    <row r="65" spans="1:122" ht="15.75" thickBot="1" x14ac:dyDescent="0.3">
      <c r="A65" s="787"/>
      <c r="B65" s="65" t="s">
        <v>214</v>
      </c>
      <c r="C65" s="205"/>
      <c r="D65" s="205"/>
      <c r="E65" s="205"/>
      <c r="F65" s="69"/>
      <c r="G65" s="69"/>
      <c r="H65" s="69"/>
      <c r="I65" s="69"/>
      <c r="J65" s="69"/>
      <c r="K65" s="69"/>
      <c r="L65" s="70"/>
      <c r="M65" s="71"/>
      <c r="N65" s="72"/>
      <c r="O65" s="73"/>
      <c r="P65" s="72"/>
      <c r="Q65" s="73"/>
      <c r="R65" s="72"/>
      <c r="S65" s="73"/>
      <c r="T65" s="72"/>
      <c r="U65" s="73"/>
      <c r="V65" s="72"/>
      <c r="W65" s="73"/>
      <c r="X65" s="72"/>
      <c r="Y65" s="74"/>
      <c r="Z65" s="72"/>
      <c r="AA65" s="75"/>
      <c r="AB65" s="75"/>
      <c r="AC65" s="75"/>
      <c r="BG65" s="116"/>
      <c r="BH65" s="116"/>
      <c r="DQ65" s="480"/>
      <c r="DR65" s="480"/>
    </row>
    <row r="66" spans="1:122" ht="15.75" thickBot="1" x14ac:dyDescent="0.3">
      <c r="A66" s="788"/>
      <c r="B66" s="90" t="s">
        <v>215</v>
      </c>
      <c r="C66" s="503">
        <f>'2021-22 ERC'!F59</f>
        <v>410</v>
      </c>
      <c r="D66" s="503">
        <f>'2021-22 ERC'!G59</f>
        <v>558</v>
      </c>
      <c r="E66" s="196">
        <f>SUM(C66:D66)</f>
        <v>968</v>
      </c>
      <c r="F66" s="230">
        <f>P66+R66</f>
        <v>21</v>
      </c>
      <c r="G66" s="230">
        <f>Q66+S66</f>
        <v>820</v>
      </c>
      <c r="H66" s="230">
        <f>SUM(F66:G66)</f>
        <v>841</v>
      </c>
      <c r="I66" s="231">
        <f t="shared" si="29"/>
        <v>5.1219512195121948E-2</v>
      </c>
      <c r="J66" s="231">
        <f t="shared" si="30"/>
        <v>1.4695340501792116</v>
      </c>
      <c r="K66" s="231">
        <f t="shared" si="31"/>
        <v>0.86880165289256195</v>
      </c>
      <c r="L66" s="77"/>
      <c r="M66" s="78"/>
      <c r="N66" s="77"/>
      <c r="O66" s="78"/>
      <c r="P66" s="34">
        <v>10</v>
      </c>
      <c r="Q66" s="46">
        <v>187</v>
      </c>
      <c r="R66" s="34">
        <v>11</v>
      </c>
      <c r="S66" s="46">
        <v>633</v>
      </c>
      <c r="T66" s="77"/>
      <c r="U66" s="78"/>
      <c r="V66" s="77"/>
      <c r="W66" s="78"/>
      <c r="X66" s="77"/>
      <c r="Y66" s="79"/>
      <c r="Z66" s="77"/>
      <c r="AA66" s="80"/>
      <c r="AB66" s="463">
        <f t="shared" si="32"/>
        <v>5.1909051909051908E-2</v>
      </c>
      <c r="AC66" s="462">
        <f t="shared" si="33"/>
        <v>4.3868342809451774E-2</v>
      </c>
      <c r="BG66" s="116"/>
      <c r="BH66" s="116"/>
      <c r="DQ66" s="480"/>
      <c r="DR66" s="480"/>
    </row>
    <row r="67" spans="1:122" ht="15.75" thickBot="1" x14ac:dyDescent="0.3">
      <c r="A67" s="788"/>
      <c r="B67" s="91" t="s">
        <v>216</v>
      </c>
      <c r="C67" s="503">
        <f>'2021-22 ERC'!F60</f>
        <v>229</v>
      </c>
      <c r="D67" s="503">
        <f>'2021-22 ERC'!G60</f>
        <v>0</v>
      </c>
      <c r="E67" s="196">
        <f>SUM(C67:D67)</f>
        <v>229</v>
      </c>
      <c r="F67" s="238">
        <f>T67+V67+X67</f>
        <v>206</v>
      </c>
      <c r="G67" s="238">
        <f>U67+W67</f>
        <v>0</v>
      </c>
      <c r="H67" s="230">
        <f>SUM(F67:G67)</f>
        <v>206</v>
      </c>
      <c r="I67" s="231">
        <f t="shared" si="29"/>
        <v>0.89956331877729256</v>
      </c>
      <c r="J67" s="231">
        <f t="shared" si="30"/>
        <v>0</v>
      </c>
      <c r="K67" s="231">
        <f t="shared" si="31"/>
        <v>0.89956331877729256</v>
      </c>
      <c r="L67" s="92"/>
      <c r="M67" s="93"/>
      <c r="N67" s="92"/>
      <c r="O67" s="93"/>
      <c r="P67" s="92"/>
      <c r="Q67" s="93"/>
      <c r="R67" s="92"/>
      <c r="S67" s="93"/>
      <c r="T67" s="94">
        <v>11</v>
      </c>
      <c r="U67" s="78"/>
      <c r="V67" s="94">
        <v>188</v>
      </c>
      <c r="W67" s="78"/>
      <c r="X67" s="94">
        <v>7</v>
      </c>
      <c r="Y67" s="95"/>
      <c r="Z67" s="92"/>
      <c r="AA67" s="96"/>
      <c r="AB67" s="464">
        <f t="shared" si="32"/>
        <v>1.228013728013728E-2</v>
      </c>
      <c r="AC67" s="465">
        <f t="shared" si="33"/>
        <v>1.0745396692921601E-2</v>
      </c>
      <c r="BG67" s="116"/>
      <c r="BH67" s="116"/>
      <c r="DQ67" s="480"/>
      <c r="DR67" s="480"/>
    </row>
    <row r="68" spans="1:122" ht="30.75" customHeight="1" thickTop="1" thickBot="1" x14ac:dyDescent="0.3">
      <c r="A68" s="742" t="s">
        <v>217</v>
      </c>
      <c r="B68" s="789"/>
      <c r="C68" s="197">
        <f t="shared" ref="C68" si="43">SUM(C59:C67)</f>
        <v>6156</v>
      </c>
      <c r="D68" s="197">
        <f t="shared" ref="D68:E68" si="44">SUM(D59:D67)</f>
        <v>5102</v>
      </c>
      <c r="E68" s="197">
        <f t="shared" si="44"/>
        <v>11258</v>
      </c>
      <c r="F68" s="232">
        <f>SUM(F59:F67)</f>
        <v>6061</v>
      </c>
      <c r="G68" s="232">
        <f>SUM(G59:G67)</f>
        <v>4845</v>
      </c>
      <c r="H68" s="230">
        <f>SUM(F68:G68)</f>
        <v>10906</v>
      </c>
      <c r="I68" s="231">
        <f t="shared" si="29"/>
        <v>0.98456790123456794</v>
      </c>
      <c r="J68" s="231">
        <f t="shared" si="30"/>
        <v>0.94962759702077615</v>
      </c>
      <c r="K68" s="231">
        <f t="shared" si="31"/>
        <v>0.96873334517676324</v>
      </c>
      <c r="L68" s="233">
        <f t="shared" ref="L68:AA68" si="45">SUM(L59:L67)</f>
        <v>1954</v>
      </c>
      <c r="M68" s="234">
        <f t="shared" si="45"/>
        <v>93</v>
      </c>
      <c r="N68" s="234">
        <f t="shared" si="45"/>
        <v>147</v>
      </c>
      <c r="O68" s="234">
        <f t="shared" si="45"/>
        <v>129</v>
      </c>
      <c r="P68" s="234">
        <f t="shared" si="45"/>
        <v>1403</v>
      </c>
      <c r="Q68" s="234">
        <f t="shared" si="45"/>
        <v>837</v>
      </c>
      <c r="R68" s="234">
        <f t="shared" si="45"/>
        <v>1313</v>
      </c>
      <c r="S68" s="234">
        <f t="shared" si="45"/>
        <v>2699</v>
      </c>
      <c r="T68" s="234">
        <f t="shared" si="45"/>
        <v>548</v>
      </c>
      <c r="U68" s="234">
        <f t="shared" si="45"/>
        <v>51</v>
      </c>
      <c r="V68" s="234">
        <f t="shared" si="45"/>
        <v>554</v>
      </c>
      <c r="W68" s="234">
        <f t="shared" si="45"/>
        <v>918</v>
      </c>
      <c r="X68" s="234">
        <f t="shared" si="45"/>
        <v>129</v>
      </c>
      <c r="Y68" s="235">
        <f t="shared" si="45"/>
        <v>118</v>
      </c>
      <c r="Z68" s="236">
        <f t="shared" si="45"/>
        <v>13</v>
      </c>
      <c r="AA68" s="237">
        <f t="shared" si="45"/>
        <v>0</v>
      </c>
      <c r="BG68" s="116"/>
      <c r="DQ68" s="480"/>
    </row>
    <row r="69" spans="1:122" ht="15.75" thickBot="1" x14ac:dyDescent="0.3">
      <c r="A69" s="97"/>
      <c r="B69" s="98"/>
      <c r="C69" s="206"/>
      <c r="D69" s="206"/>
      <c r="E69" s="206"/>
      <c r="F69" s="99"/>
      <c r="G69" s="100"/>
      <c r="H69" s="101"/>
      <c r="I69" s="101"/>
      <c r="J69" s="101"/>
      <c r="K69" s="101"/>
      <c r="L69" s="102"/>
      <c r="M69" s="102"/>
      <c r="N69" s="102"/>
      <c r="O69" s="102"/>
      <c r="P69" s="102"/>
      <c r="Q69" s="102"/>
      <c r="R69" s="102"/>
      <c r="S69" s="102"/>
      <c r="T69" s="102"/>
      <c r="U69" s="102"/>
      <c r="V69" s="102"/>
      <c r="W69" s="102"/>
      <c r="X69" s="102"/>
      <c r="Y69" s="102"/>
      <c r="Z69" s="103"/>
      <c r="AA69" s="104"/>
      <c r="BG69" s="116"/>
      <c r="DQ69" s="480"/>
    </row>
    <row r="70" spans="1:122" ht="15.75" customHeight="1" thickBot="1" x14ac:dyDescent="0.3">
      <c r="A70" s="790" t="s">
        <v>218</v>
      </c>
      <c r="B70" s="791"/>
      <c r="C70" s="196">
        <f>'2021-22 ERC'!F63</f>
        <v>0</v>
      </c>
      <c r="D70" s="196">
        <f>'2021-22 ERC'!G63</f>
        <v>0</v>
      </c>
      <c r="E70" s="196">
        <f>SUM(C70:D70)</f>
        <v>0</v>
      </c>
      <c r="F70" s="230">
        <f>L70+N70+P70+R70+T70+V70+X70+Z70</f>
        <v>0</v>
      </c>
      <c r="G70" s="230">
        <f>M70+O70+Q70+S70+U70+W70+Y70+AA70</f>
        <v>0</v>
      </c>
      <c r="H70" s="230">
        <f>SUM(F70:G70)</f>
        <v>0</v>
      </c>
      <c r="I70" s="231">
        <f t="shared" si="29"/>
        <v>0</v>
      </c>
      <c r="J70" s="231">
        <f t="shared" si="30"/>
        <v>0</v>
      </c>
      <c r="K70" s="231">
        <f t="shared" si="31"/>
        <v>0</v>
      </c>
      <c r="L70" s="36"/>
      <c r="M70" s="46"/>
      <c r="N70" s="34"/>
      <c r="O70" s="46"/>
      <c r="P70" s="34"/>
      <c r="Q70" s="46"/>
      <c r="R70" s="34"/>
      <c r="S70" s="46"/>
      <c r="T70" s="34"/>
      <c r="U70" s="46"/>
      <c r="V70" s="34"/>
      <c r="W70" s="46"/>
      <c r="X70" s="34"/>
      <c r="Y70" s="37"/>
      <c r="Z70" s="34"/>
      <c r="AA70" s="35"/>
      <c r="BG70" s="116"/>
      <c r="DQ70" s="480"/>
    </row>
    <row r="71" spans="1:122" x14ac:dyDescent="0.25">
      <c r="C71" s="116"/>
      <c r="D71" s="116"/>
      <c r="E71" s="116"/>
      <c r="BG71" s="116"/>
      <c r="DQ71" s="480"/>
    </row>
    <row r="72" spans="1:122" ht="15.75" thickBot="1" x14ac:dyDescent="0.3">
      <c r="C72" s="116"/>
      <c r="D72" s="116"/>
      <c r="E72" s="116"/>
      <c r="BG72" s="116"/>
      <c r="DQ72" s="480"/>
    </row>
    <row r="73" spans="1:122" ht="15.75" thickBot="1" x14ac:dyDescent="0.3">
      <c r="A73" s="792" t="s">
        <v>221</v>
      </c>
      <c r="B73" s="793"/>
      <c r="C73" s="793"/>
      <c r="D73" s="793"/>
      <c r="E73" s="793"/>
      <c r="F73" s="793"/>
      <c r="G73" s="793"/>
      <c r="H73" s="793"/>
      <c r="I73" s="793"/>
      <c r="J73" s="793"/>
      <c r="K73" s="793"/>
      <c r="L73" s="793"/>
      <c r="M73" s="793"/>
      <c r="N73" s="793"/>
      <c r="O73" s="793"/>
      <c r="P73" s="793"/>
      <c r="Q73" s="793"/>
      <c r="R73" s="793"/>
      <c r="S73" s="793"/>
      <c r="T73" s="793"/>
      <c r="U73" s="793"/>
      <c r="V73" s="793"/>
      <c r="W73" s="793"/>
      <c r="X73" s="793"/>
      <c r="Y73" s="793"/>
      <c r="Z73" s="793"/>
      <c r="AA73" s="793"/>
      <c r="AB73" s="793"/>
      <c r="AC73" s="793"/>
      <c r="AD73" s="793"/>
      <c r="AE73" s="793"/>
      <c r="AF73" s="793"/>
      <c r="AG73" s="793"/>
      <c r="AH73" s="793"/>
      <c r="AI73" s="793"/>
      <c r="AJ73" s="793"/>
      <c r="AK73" s="794"/>
      <c r="AL73" s="794"/>
      <c r="AM73" s="794"/>
      <c r="AN73" s="794"/>
      <c r="AO73" s="794"/>
      <c r="AP73" s="794"/>
      <c r="AQ73" s="794"/>
      <c r="AR73" s="794"/>
      <c r="AS73" s="794"/>
      <c r="AT73" s="794"/>
      <c r="AU73" s="794"/>
      <c r="AV73" s="794"/>
      <c r="AW73" s="794"/>
      <c r="AX73" s="794"/>
      <c r="AY73" s="794"/>
      <c r="AZ73" s="794"/>
      <c r="BA73" s="794"/>
      <c r="BB73" s="794"/>
      <c r="BC73" s="794"/>
      <c r="BD73" s="794"/>
      <c r="BE73" s="794"/>
      <c r="BF73" s="794"/>
      <c r="BG73" s="755"/>
      <c r="CY73" s="481"/>
      <c r="CZ73" s="481"/>
      <c r="DA73" s="481"/>
      <c r="DB73" s="481"/>
      <c r="DC73" s="481"/>
      <c r="DD73" s="481"/>
      <c r="DE73" s="481"/>
      <c r="DF73" s="481"/>
      <c r="DG73" s="481"/>
      <c r="DH73" s="481"/>
      <c r="DI73" s="481"/>
      <c r="DJ73" s="481"/>
      <c r="DK73" s="481"/>
      <c r="DL73" s="481"/>
      <c r="DM73" s="481"/>
      <c r="DN73" s="481"/>
      <c r="DO73" s="481"/>
      <c r="DP73" s="481"/>
    </row>
    <row r="74" spans="1:122" ht="100.5" customHeight="1" thickBot="1" x14ac:dyDescent="0.3">
      <c r="A74" s="795" t="s">
        <v>82</v>
      </c>
      <c r="B74" s="796"/>
      <c r="C74" s="796"/>
      <c r="D74" s="796"/>
      <c r="E74" s="797"/>
      <c r="F74" s="798" t="s">
        <v>222</v>
      </c>
      <c r="G74" s="798"/>
      <c r="H74" s="798"/>
      <c r="I74" s="798"/>
      <c r="J74" s="798"/>
      <c r="K74" s="798"/>
      <c r="L74" s="798"/>
      <c r="M74" s="798"/>
      <c r="N74" s="798"/>
      <c r="O74" s="798" t="s">
        <v>223</v>
      </c>
      <c r="P74" s="798"/>
      <c r="Q74" s="798"/>
      <c r="R74" s="798"/>
      <c r="S74" s="798"/>
      <c r="T74" s="798"/>
      <c r="U74" s="798"/>
      <c r="V74" s="798"/>
      <c r="W74" s="798"/>
      <c r="X74" s="798" t="s">
        <v>224</v>
      </c>
      <c r="Y74" s="798"/>
      <c r="Z74" s="798"/>
      <c r="AA74" s="798"/>
      <c r="AB74" s="798"/>
      <c r="AC74" s="798"/>
      <c r="AD74" s="798"/>
      <c r="AE74" s="798"/>
      <c r="AF74" s="798"/>
      <c r="AG74" s="792" t="s">
        <v>225</v>
      </c>
      <c r="AH74" s="793"/>
      <c r="AI74" s="799"/>
      <c r="AJ74" s="800" t="s">
        <v>226</v>
      </c>
      <c r="AK74" s="801"/>
      <c r="AL74" s="801"/>
      <c r="AM74" s="801"/>
      <c r="AN74" s="801"/>
      <c r="AO74" s="801"/>
      <c r="AP74" s="801"/>
      <c r="AQ74" s="801"/>
      <c r="AR74" s="802"/>
      <c r="AS74" s="803" t="s">
        <v>227</v>
      </c>
      <c r="AT74" s="804"/>
      <c r="AU74" s="804"/>
      <c r="AV74" s="805"/>
      <c r="AW74" s="803" t="s">
        <v>228</v>
      </c>
      <c r="AX74" s="804"/>
      <c r="AY74" s="804"/>
      <c r="AZ74" s="805"/>
      <c r="BA74" s="803" t="s">
        <v>229</v>
      </c>
      <c r="BB74" s="804"/>
      <c r="BC74" s="804"/>
      <c r="BD74" s="805"/>
      <c r="BE74" s="792" t="s">
        <v>230</v>
      </c>
      <c r="BF74" s="793"/>
      <c r="BG74" s="799"/>
      <c r="BH74" s="506"/>
    </row>
    <row r="75" spans="1:122" ht="96" customHeight="1" thickBot="1" x14ac:dyDescent="0.3">
      <c r="A75" s="809" t="s">
        <v>231</v>
      </c>
      <c r="B75" s="810"/>
      <c r="C75" s="810"/>
      <c r="D75" s="810"/>
      <c r="E75" s="811"/>
      <c r="F75" s="761" t="s">
        <v>232</v>
      </c>
      <c r="G75" s="762"/>
      <c r="H75" s="763"/>
      <c r="I75" s="761" t="s">
        <v>233</v>
      </c>
      <c r="J75" s="762"/>
      <c r="K75" s="763"/>
      <c r="L75" s="761" t="s">
        <v>234</v>
      </c>
      <c r="M75" s="762"/>
      <c r="N75" s="763"/>
      <c r="O75" s="761" t="s">
        <v>232</v>
      </c>
      <c r="P75" s="762"/>
      <c r="Q75" s="763"/>
      <c r="R75" s="761" t="s">
        <v>233</v>
      </c>
      <c r="S75" s="762"/>
      <c r="T75" s="763"/>
      <c r="U75" s="761" t="s">
        <v>234</v>
      </c>
      <c r="V75" s="762"/>
      <c r="W75" s="763"/>
      <c r="X75" s="761" t="s">
        <v>232</v>
      </c>
      <c r="Y75" s="762"/>
      <c r="Z75" s="763"/>
      <c r="AA75" s="761" t="s">
        <v>233</v>
      </c>
      <c r="AB75" s="762"/>
      <c r="AC75" s="762"/>
      <c r="AD75" s="764" t="s">
        <v>234</v>
      </c>
      <c r="AE75" s="765"/>
      <c r="AF75" s="766"/>
      <c r="AG75" s="764" t="s">
        <v>234</v>
      </c>
      <c r="AH75" s="765"/>
      <c r="AI75" s="766"/>
      <c r="AJ75" s="764" t="s">
        <v>232</v>
      </c>
      <c r="AK75" s="765"/>
      <c r="AL75" s="766"/>
      <c r="AM75" s="764" t="s">
        <v>233</v>
      </c>
      <c r="AN75" s="765"/>
      <c r="AO75" s="766"/>
      <c r="AP75" s="764" t="s">
        <v>234</v>
      </c>
      <c r="AQ75" s="765"/>
      <c r="AR75" s="766"/>
      <c r="AS75" s="806"/>
      <c r="AT75" s="807"/>
      <c r="AU75" s="807"/>
      <c r="AV75" s="808"/>
      <c r="AW75" s="806"/>
      <c r="AX75" s="807"/>
      <c r="AY75" s="807"/>
      <c r="AZ75" s="808"/>
      <c r="BA75" s="806"/>
      <c r="BB75" s="807"/>
      <c r="BC75" s="807"/>
      <c r="BD75" s="808"/>
      <c r="BE75" s="266" t="s">
        <v>83</v>
      </c>
      <c r="BF75" s="266" t="s">
        <v>235</v>
      </c>
      <c r="BG75" s="107" t="s">
        <v>236</v>
      </c>
      <c r="BH75" s="506"/>
    </row>
    <row r="76" spans="1:122" ht="35.25" customHeight="1" thickBot="1" x14ac:dyDescent="0.3">
      <c r="A76" s="783"/>
      <c r="B76" s="765"/>
      <c r="C76" s="765"/>
      <c r="D76" s="765"/>
      <c r="E76" s="766"/>
      <c r="F76" s="108" t="s">
        <v>237</v>
      </c>
      <c r="G76" s="108" t="s">
        <v>238</v>
      </c>
      <c r="H76" s="108" t="s">
        <v>239</v>
      </c>
      <c r="I76" s="108" t="s">
        <v>237</v>
      </c>
      <c r="J76" s="108" t="s">
        <v>238</v>
      </c>
      <c r="K76" s="108" t="s">
        <v>239</v>
      </c>
      <c r="L76" s="108" t="s">
        <v>237</v>
      </c>
      <c r="M76" s="108" t="s">
        <v>238</v>
      </c>
      <c r="N76" s="108" t="s">
        <v>239</v>
      </c>
      <c r="O76" s="108" t="s">
        <v>237</v>
      </c>
      <c r="P76" s="108" t="s">
        <v>238</v>
      </c>
      <c r="Q76" s="108" t="s">
        <v>239</v>
      </c>
      <c r="R76" s="108" t="s">
        <v>237</v>
      </c>
      <c r="S76" s="108" t="s">
        <v>238</v>
      </c>
      <c r="T76" s="108" t="s">
        <v>239</v>
      </c>
      <c r="U76" s="108" t="s">
        <v>237</v>
      </c>
      <c r="V76" s="108" t="s">
        <v>238</v>
      </c>
      <c r="W76" s="108" t="s">
        <v>239</v>
      </c>
      <c r="X76" s="108" t="s">
        <v>237</v>
      </c>
      <c r="Y76" s="108" t="s">
        <v>238</v>
      </c>
      <c r="Z76" s="108" t="s">
        <v>239</v>
      </c>
      <c r="AA76" s="108" t="s">
        <v>237</v>
      </c>
      <c r="AB76" s="108" t="s">
        <v>238</v>
      </c>
      <c r="AC76" s="108" t="s">
        <v>239</v>
      </c>
      <c r="AD76" s="108" t="s">
        <v>237</v>
      </c>
      <c r="AE76" s="108" t="s">
        <v>238</v>
      </c>
      <c r="AF76" s="108" t="s">
        <v>239</v>
      </c>
      <c r="AG76" s="108" t="s">
        <v>237</v>
      </c>
      <c r="AH76" s="108" t="s">
        <v>238</v>
      </c>
      <c r="AI76" s="108" t="s">
        <v>239</v>
      </c>
      <c r="AJ76" s="108" t="s">
        <v>237</v>
      </c>
      <c r="AK76" s="108" t="s">
        <v>238</v>
      </c>
      <c r="AL76" s="108" t="s">
        <v>239</v>
      </c>
      <c r="AM76" s="108" t="s">
        <v>237</v>
      </c>
      <c r="AN76" s="108" t="s">
        <v>238</v>
      </c>
      <c r="AO76" s="108" t="s">
        <v>239</v>
      </c>
      <c r="AP76" s="108" t="s">
        <v>237</v>
      </c>
      <c r="AQ76" s="108" t="s">
        <v>238</v>
      </c>
      <c r="AR76" s="108" t="s">
        <v>239</v>
      </c>
      <c r="AS76" s="109" t="s">
        <v>237</v>
      </c>
      <c r="AT76" s="109" t="s">
        <v>238</v>
      </c>
      <c r="AU76" s="109" t="s">
        <v>239</v>
      </c>
      <c r="AV76" s="109" t="s">
        <v>193</v>
      </c>
      <c r="AW76" s="263" t="s">
        <v>237</v>
      </c>
      <c r="AX76" s="263" t="s">
        <v>238</v>
      </c>
      <c r="AY76" s="263" t="s">
        <v>239</v>
      </c>
      <c r="AZ76" s="263" t="s">
        <v>193</v>
      </c>
      <c r="BA76" s="263" t="s">
        <v>237</v>
      </c>
      <c r="BB76" s="263" t="s">
        <v>238</v>
      </c>
      <c r="BC76" s="263" t="s">
        <v>239</v>
      </c>
      <c r="BD76" s="263" t="s">
        <v>193</v>
      </c>
      <c r="BE76" s="817">
        <f>'2021-22 ERC'!BF69</f>
        <v>1500</v>
      </c>
      <c r="BF76" s="818">
        <v>1571</v>
      </c>
      <c r="BG76" s="816">
        <f>IFERROR(BF76/BE76,0)</f>
        <v>1.0473333333333332</v>
      </c>
      <c r="DD76" s="481"/>
      <c r="DE76" s="481"/>
      <c r="DF76" s="481"/>
      <c r="DG76" s="481"/>
      <c r="DH76" s="481"/>
      <c r="DI76" s="481"/>
      <c r="DJ76" s="481"/>
      <c r="DK76" s="481"/>
      <c r="DL76" s="481"/>
      <c r="DM76" s="481"/>
      <c r="DN76" s="481"/>
      <c r="DO76" s="481"/>
      <c r="DP76" s="481"/>
    </row>
    <row r="77" spans="1:122" ht="15" customHeight="1" thickBot="1" x14ac:dyDescent="0.3">
      <c r="A77" s="771" t="s">
        <v>240</v>
      </c>
      <c r="B77" s="773" t="s">
        <v>44</v>
      </c>
      <c r="C77" s="774"/>
      <c r="D77" s="774"/>
      <c r="E77" s="775"/>
      <c r="F77" s="507">
        <f>'2021-22 ERC'!F71</f>
        <v>0</v>
      </c>
      <c r="G77" s="507">
        <f>'2021-22 ERC'!G71</f>
        <v>0</v>
      </c>
      <c r="H77" s="507">
        <f>'2021-22 ERC'!H71</f>
        <v>0</v>
      </c>
      <c r="I77" s="507">
        <f>'2021-22 ERC'!I71</f>
        <v>0</v>
      </c>
      <c r="J77" s="507">
        <f>'2021-22 ERC'!J71</f>
        <v>0</v>
      </c>
      <c r="K77" s="507">
        <f>'2021-22 ERC'!K71</f>
        <v>0</v>
      </c>
      <c r="L77" s="507">
        <f>'2021-22 ERC'!L71</f>
        <v>0</v>
      </c>
      <c r="M77" s="507">
        <f>'2021-22 ERC'!M71</f>
        <v>0</v>
      </c>
      <c r="N77" s="507">
        <f>'2021-22 ERC'!N71</f>
        <v>0</v>
      </c>
      <c r="O77" s="507">
        <f>'2021-22 ERC'!O71</f>
        <v>0</v>
      </c>
      <c r="P77" s="507">
        <f>'2021-22 ERC'!P71</f>
        <v>0</v>
      </c>
      <c r="Q77" s="507">
        <f>'2021-22 ERC'!Q71</f>
        <v>0</v>
      </c>
      <c r="R77" s="507">
        <f>'2021-22 ERC'!R71</f>
        <v>0</v>
      </c>
      <c r="S77" s="507">
        <f>'2021-22 ERC'!S71</f>
        <v>0</v>
      </c>
      <c r="T77" s="507">
        <f>'2021-22 ERC'!T71</f>
        <v>0</v>
      </c>
      <c r="U77" s="507">
        <f>'2021-22 ERC'!U71</f>
        <v>0</v>
      </c>
      <c r="V77" s="507">
        <f>'2021-22 ERC'!V71</f>
        <v>0</v>
      </c>
      <c r="W77" s="507">
        <f>'2021-22 ERC'!W71</f>
        <v>0</v>
      </c>
      <c r="X77" s="507">
        <f>'2021-22 ERC'!X71</f>
        <v>0</v>
      </c>
      <c r="Y77" s="507">
        <f>'2021-22 ERC'!Y71</f>
        <v>0</v>
      </c>
      <c r="Z77" s="507">
        <f>'2021-22 ERC'!Z71</f>
        <v>0</v>
      </c>
      <c r="AA77" s="507">
        <f>'2021-22 ERC'!AA71</f>
        <v>0</v>
      </c>
      <c r="AB77" s="507">
        <f>'2021-22 ERC'!AB71</f>
        <v>0</v>
      </c>
      <c r="AC77" s="507">
        <f>'2021-22 ERC'!AC71</f>
        <v>0</v>
      </c>
      <c r="AD77" s="507">
        <f>'2021-22 ERC'!AD71</f>
        <v>0</v>
      </c>
      <c r="AE77" s="507">
        <f>'2021-22 ERC'!AE71</f>
        <v>0</v>
      </c>
      <c r="AF77" s="507">
        <f>'2021-22 ERC'!AF71</f>
        <v>0</v>
      </c>
      <c r="AG77" s="507">
        <f>'2021-22 ERC'!AG71</f>
        <v>0</v>
      </c>
      <c r="AH77" s="507">
        <f>'2021-22 ERC'!AH71</f>
        <v>0</v>
      </c>
      <c r="AI77" s="507">
        <f>'2021-22 ERC'!AI71</f>
        <v>0</v>
      </c>
      <c r="AJ77" s="507">
        <f>'2021-22 ERC'!AJ71</f>
        <v>0</v>
      </c>
      <c r="AK77" s="507">
        <f>'2021-22 ERC'!AK71</f>
        <v>0</v>
      </c>
      <c r="AL77" s="507">
        <f>'2021-22 ERC'!AL71</f>
        <v>0</v>
      </c>
      <c r="AM77" s="507">
        <f>'2021-22 ERC'!AM71</f>
        <v>0</v>
      </c>
      <c r="AN77" s="507">
        <f>'2021-22 ERC'!AN71</f>
        <v>0</v>
      </c>
      <c r="AO77" s="507">
        <f>'2021-22 ERC'!AO71</f>
        <v>0</v>
      </c>
      <c r="AP77" s="507">
        <f>'2021-22 ERC'!AP71</f>
        <v>0</v>
      </c>
      <c r="AQ77" s="507">
        <f>'2021-22 ERC'!AQ71</f>
        <v>0</v>
      </c>
      <c r="AR77" s="507">
        <f>'2021-22 ERC'!AR71</f>
        <v>0</v>
      </c>
      <c r="AS77" s="776">
        <f>F77+I77+L77+O77+R77+U77+X77+AA77+AD77+AG77+AJ77+AM77+AP77</f>
        <v>0</v>
      </c>
      <c r="AT77" s="776">
        <f>G77+J77+M77+P77+S77+V77+Y77+AB77+AE77+AH77+AK77+AN77+AQ77</f>
        <v>0</v>
      </c>
      <c r="AU77" s="776">
        <f>H77+K77+N77+Q77+T77+W77+Z77+AC77+AF77+AI77+AL77+AO77+AR77</f>
        <v>0</v>
      </c>
      <c r="AV77" s="814">
        <f>SUM(AS77:AU78)</f>
        <v>0</v>
      </c>
      <c r="AW77" s="778">
        <f>F78+I78+L78+O78+R78+U78+X78+AA78+AD78+AG78+AJ78+AM78+AP78</f>
        <v>2</v>
      </c>
      <c r="AX77" s="778">
        <f>G78+J78+M78+P78+S78+V78+Y78+AB78+AE78+AH78+AK78+AN78+AQ78</f>
        <v>3</v>
      </c>
      <c r="AY77" s="778">
        <f>H78+K78+N78+Q78+T78+W78+Z78+AC78+AF78+AI78+AL78+AO78+AR78</f>
        <v>0</v>
      </c>
      <c r="AZ77" s="778">
        <f>SUM(AW77:AY78)</f>
        <v>5</v>
      </c>
      <c r="BA77" s="812">
        <f>IFERROR(AW77/AS77,0)</f>
        <v>0</v>
      </c>
      <c r="BB77" s="812">
        <f t="shared" ref="BB77:BD77" si="46">IFERROR(AX77/AT77,0)</f>
        <v>0</v>
      </c>
      <c r="BC77" s="812">
        <f t="shared" si="46"/>
        <v>0</v>
      </c>
      <c r="BD77" s="812">
        <f t="shared" si="46"/>
        <v>0</v>
      </c>
      <c r="BE77" s="817"/>
      <c r="BF77" s="818"/>
      <c r="BG77" s="816"/>
      <c r="DD77" s="481"/>
      <c r="DE77" s="481"/>
      <c r="DF77" s="481"/>
      <c r="DG77" s="481"/>
      <c r="DH77" s="481"/>
      <c r="DI77" s="481"/>
      <c r="DJ77" s="481"/>
      <c r="DK77" s="481"/>
      <c r="DL77" s="481"/>
      <c r="DM77" s="481"/>
      <c r="DN77" s="481"/>
      <c r="DO77" s="481"/>
      <c r="DP77" s="481"/>
    </row>
    <row r="78" spans="1:122" ht="15.75" customHeight="1" thickBot="1" x14ac:dyDescent="0.3">
      <c r="A78" s="772"/>
      <c r="B78" s="780" t="s">
        <v>60</v>
      </c>
      <c r="C78" s="781"/>
      <c r="D78" s="781"/>
      <c r="E78" s="782"/>
      <c r="F78" s="207"/>
      <c r="G78" s="207"/>
      <c r="H78" s="207"/>
      <c r="I78" s="207"/>
      <c r="J78" s="207"/>
      <c r="K78" s="207"/>
      <c r="L78" s="207"/>
      <c r="M78" s="207"/>
      <c r="N78" s="207"/>
      <c r="O78" s="207"/>
      <c r="P78" s="207">
        <v>1</v>
      </c>
      <c r="Q78" s="207"/>
      <c r="R78" s="207"/>
      <c r="S78" s="207"/>
      <c r="T78" s="207"/>
      <c r="U78" s="207">
        <v>2</v>
      </c>
      <c r="V78" s="207">
        <v>2</v>
      </c>
      <c r="W78" s="207"/>
      <c r="X78" s="207"/>
      <c r="Y78" s="207"/>
      <c r="Z78" s="207"/>
      <c r="AA78" s="207"/>
      <c r="AB78" s="207"/>
      <c r="AC78" s="207"/>
      <c r="AD78" s="207"/>
      <c r="AE78" s="207"/>
      <c r="AF78" s="207"/>
      <c r="AG78" s="207"/>
      <c r="AH78" s="207"/>
      <c r="AI78" s="207"/>
      <c r="AJ78" s="207"/>
      <c r="AK78" s="207"/>
      <c r="AL78" s="207"/>
      <c r="AM78" s="207"/>
      <c r="AN78" s="207"/>
      <c r="AO78" s="207"/>
      <c r="AP78" s="207"/>
      <c r="AQ78" s="207"/>
      <c r="AR78" s="207"/>
      <c r="AS78" s="777"/>
      <c r="AT78" s="777"/>
      <c r="AU78" s="777"/>
      <c r="AV78" s="815"/>
      <c r="AW78" s="779"/>
      <c r="AX78" s="779"/>
      <c r="AY78" s="779"/>
      <c r="AZ78" s="779"/>
      <c r="BA78" s="813"/>
      <c r="BB78" s="813"/>
      <c r="BC78" s="813"/>
      <c r="BD78" s="813"/>
      <c r="BE78" s="817"/>
      <c r="BF78" s="818"/>
      <c r="BG78" s="816"/>
      <c r="DD78" s="481"/>
      <c r="DE78" s="481"/>
      <c r="DF78" s="481"/>
      <c r="DG78" s="481"/>
      <c r="DH78" s="481"/>
      <c r="DI78" s="481"/>
      <c r="DJ78" s="481"/>
      <c r="DK78" s="481"/>
      <c r="DL78" s="481"/>
      <c r="DM78" s="481"/>
      <c r="DN78" s="481"/>
      <c r="DO78" s="481"/>
      <c r="DP78" s="481"/>
    </row>
    <row r="79" spans="1:122" ht="15" customHeight="1" thickBot="1" x14ac:dyDescent="0.3">
      <c r="A79" s="771" t="s">
        <v>241</v>
      </c>
      <c r="B79" s="773" t="s">
        <v>44</v>
      </c>
      <c r="C79" s="774"/>
      <c r="D79" s="774"/>
      <c r="E79" s="775"/>
      <c r="F79" s="507">
        <f>'2021-22 ERC'!F73</f>
        <v>0</v>
      </c>
      <c r="G79" s="507">
        <f>'2021-22 ERC'!G73</f>
        <v>0</v>
      </c>
      <c r="H79" s="507">
        <f>'2021-22 ERC'!H73</f>
        <v>0</v>
      </c>
      <c r="I79" s="507">
        <f>'2021-22 ERC'!I73</f>
        <v>0</v>
      </c>
      <c r="J79" s="507">
        <f>'2021-22 ERC'!J73</f>
        <v>0</v>
      </c>
      <c r="K79" s="507">
        <f>'2021-22 ERC'!K73</f>
        <v>0</v>
      </c>
      <c r="L79" s="507">
        <f>'2021-22 ERC'!L73</f>
        <v>0</v>
      </c>
      <c r="M79" s="507">
        <f>'2021-22 ERC'!M73</f>
        <v>0</v>
      </c>
      <c r="N79" s="507">
        <f>'2021-22 ERC'!N73</f>
        <v>0</v>
      </c>
      <c r="O79" s="507">
        <f>'2021-22 ERC'!O73</f>
        <v>90</v>
      </c>
      <c r="P79" s="507">
        <f>'2021-22 ERC'!P73</f>
        <v>120</v>
      </c>
      <c r="Q79" s="507">
        <f>'2021-22 ERC'!Q73</f>
        <v>0</v>
      </c>
      <c r="R79" s="507">
        <f>'2021-22 ERC'!R73</f>
        <v>130</v>
      </c>
      <c r="S79" s="507">
        <f>'2021-22 ERC'!S73</f>
        <v>240</v>
      </c>
      <c r="T79" s="507">
        <f>'2021-22 ERC'!T73</f>
        <v>140</v>
      </c>
      <c r="U79" s="507">
        <f>'2021-22 ERC'!U73</f>
        <v>130</v>
      </c>
      <c r="V79" s="507">
        <f>'2021-22 ERC'!V73</f>
        <v>190</v>
      </c>
      <c r="W79" s="507">
        <f>'2021-22 ERC'!W73</f>
        <v>70</v>
      </c>
      <c r="X79" s="507">
        <f>'2021-22 ERC'!X73</f>
        <v>0</v>
      </c>
      <c r="Y79" s="507">
        <f>'2021-22 ERC'!Y73</f>
        <v>0</v>
      </c>
      <c r="Z79" s="507">
        <f>'2021-22 ERC'!Z73</f>
        <v>0</v>
      </c>
      <c r="AA79" s="507">
        <f>'2021-22 ERC'!AA73</f>
        <v>3</v>
      </c>
      <c r="AB79" s="507">
        <f>'2021-22 ERC'!AB73</f>
        <v>3</v>
      </c>
      <c r="AC79" s="507">
        <f>'2021-22 ERC'!AC73</f>
        <v>4</v>
      </c>
      <c r="AD79" s="507">
        <f>'2021-22 ERC'!AD73</f>
        <v>3</v>
      </c>
      <c r="AE79" s="507">
        <f>'2021-22 ERC'!AE73</f>
        <v>3</v>
      </c>
      <c r="AF79" s="507">
        <f>'2021-22 ERC'!AF73</f>
        <v>4</v>
      </c>
      <c r="AG79" s="507">
        <f>'2021-22 ERC'!AG73</f>
        <v>35</v>
      </c>
      <c r="AH79" s="507">
        <f>'2021-22 ERC'!AH73</f>
        <v>35</v>
      </c>
      <c r="AI79" s="507">
        <f>'2021-22 ERC'!AI73</f>
        <v>40</v>
      </c>
      <c r="AJ79" s="507">
        <f>'2021-22 ERC'!AJ73</f>
        <v>0</v>
      </c>
      <c r="AK79" s="507">
        <f>'2021-22 ERC'!AK73</f>
        <v>0</v>
      </c>
      <c r="AL79" s="507">
        <f>'2021-22 ERC'!AL73</f>
        <v>0</v>
      </c>
      <c r="AM79" s="507">
        <f>'2021-22 ERC'!AM73</f>
        <v>0</v>
      </c>
      <c r="AN79" s="507">
        <f>'2021-22 ERC'!AN73</f>
        <v>0</v>
      </c>
      <c r="AO79" s="507">
        <f>'2021-22 ERC'!AO73</f>
        <v>0</v>
      </c>
      <c r="AP79" s="507">
        <f>'2021-22 ERC'!AP73</f>
        <v>0</v>
      </c>
      <c r="AQ79" s="507">
        <f>'2021-22 ERC'!AQ73</f>
        <v>0</v>
      </c>
      <c r="AR79" s="507">
        <f>'2021-22 ERC'!AR73</f>
        <v>0</v>
      </c>
      <c r="AS79" s="776">
        <f>F79+I79+L79+O79+R79+U79+X79+AA79+AD79+AG79+AJ79+AM79+AP79</f>
        <v>391</v>
      </c>
      <c r="AT79" s="776">
        <f t="shared" ref="AT79:AU79" si="47">G79+J79+M79+P79+S79+V79+Y79+AB79+AE79+AH79+AK79+AN79+AQ79</f>
        <v>591</v>
      </c>
      <c r="AU79" s="776">
        <f t="shared" si="47"/>
        <v>258</v>
      </c>
      <c r="AV79" s="814">
        <f t="shared" ref="AV79" si="48">SUM(AS79:AU80)</f>
        <v>1240</v>
      </c>
      <c r="AW79" s="778">
        <f>F80+I80+L80+O80+R80+U80+X80+AA80+AD80+AG80+AJ80+AM80+AP80</f>
        <v>377</v>
      </c>
      <c r="AX79" s="778">
        <f t="shared" ref="AX79:AY79" si="49">G80+J80+M80+P80+S80+V80+Y80+AB80+AE80+AH80+AK80+AN80+AQ80</f>
        <v>449</v>
      </c>
      <c r="AY79" s="778">
        <f t="shared" si="49"/>
        <v>236</v>
      </c>
      <c r="AZ79" s="778">
        <f t="shared" ref="AZ79" si="50">SUM(AW79:AY80)</f>
        <v>1062</v>
      </c>
      <c r="BA79" s="812">
        <f t="shared" ref="BA79" si="51">IFERROR(AW79/AS79,0)</f>
        <v>0.96419437340153458</v>
      </c>
      <c r="BB79" s="812">
        <f t="shared" ref="BB79" si="52">IFERROR(AX79/AT79,0)</f>
        <v>0.75972927241962773</v>
      </c>
      <c r="BC79" s="812">
        <f t="shared" ref="BC79" si="53">IFERROR(AY79/AU79,0)</f>
        <v>0.9147286821705426</v>
      </c>
      <c r="BD79" s="812">
        <f t="shared" ref="BD79" si="54">IFERROR(AZ79/AV79,0)</f>
        <v>0.8564516129032258</v>
      </c>
      <c r="BE79" s="817"/>
      <c r="BF79" s="818"/>
      <c r="BG79" s="816"/>
      <c r="DD79" s="481"/>
      <c r="DE79" s="481"/>
      <c r="DF79" s="481"/>
      <c r="DG79" s="481"/>
      <c r="DH79" s="481"/>
      <c r="DI79" s="481"/>
      <c r="DJ79" s="481"/>
      <c r="DK79" s="481"/>
      <c r="DL79" s="481"/>
      <c r="DM79" s="481"/>
      <c r="DN79" s="481"/>
      <c r="DO79" s="481"/>
      <c r="DP79" s="481"/>
    </row>
    <row r="80" spans="1:122" ht="15.75" customHeight="1" thickBot="1" x14ac:dyDescent="0.3">
      <c r="A80" s="772"/>
      <c r="B80" s="780" t="s">
        <v>60</v>
      </c>
      <c r="C80" s="781"/>
      <c r="D80" s="781"/>
      <c r="E80" s="782"/>
      <c r="F80" s="207"/>
      <c r="G80" s="207"/>
      <c r="H80" s="207"/>
      <c r="I80" s="207">
        <v>6</v>
      </c>
      <c r="J80" s="207">
        <v>4</v>
      </c>
      <c r="K80" s="207">
        <v>9</v>
      </c>
      <c r="L80" s="207">
        <v>4</v>
      </c>
      <c r="M80" s="207">
        <v>1</v>
      </c>
      <c r="N80" s="207">
        <v>6</v>
      </c>
      <c r="O80" s="207">
        <v>97</v>
      </c>
      <c r="P80" s="207">
        <v>149</v>
      </c>
      <c r="Q80" s="207"/>
      <c r="R80" s="207">
        <v>128</v>
      </c>
      <c r="S80" s="207">
        <v>169</v>
      </c>
      <c r="T80" s="207">
        <v>97</v>
      </c>
      <c r="U80" s="207">
        <v>103</v>
      </c>
      <c r="V80" s="207">
        <v>78</v>
      </c>
      <c r="W80" s="207">
        <v>32</v>
      </c>
      <c r="X80" s="207">
        <v>2</v>
      </c>
      <c r="Y80" s="207">
        <v>3</v>
      </c>
      <c r="Z80" s="207"/>
      <c r="AA80" s="207">
        <v>4</v>
      </c>
      <c r="AB80" s="207">
        <v>6</v>
      </c>
      <c r="AC80" s="207">
        <v>56</v>
      </c>
      <c r="AD80" s="207">
        <v>3</v>
      </c>
      <c r="AE80" s="207">
        <v>1</v>
      </c>
      <c r="AF80" s="207">
        <v>11</v>
      </c>
      <c r="AG80" s="207">
        <v>30</v>
      </c>
      <c r="AH80" s="207">
        <v>38</v>
      </c>
      <c r="AI80" s="207">
        <v>25</v>
      </c>
      <c r="AJ80" s="207"/>
      <c r="AK80" s="207"/>
      <c r="AL80" s="207"/>
      <c r="AM80" s="207"/>
      <c r="AN80" s="207"/>
      <c r="AO80" s="207"/>
      <c r="AP80" s="207"/>
      <c r="AQ80" s="207"/>
      <c r="AR80" s="207"/>
      <c r="AS80" s="777"/>
      <c r="AT80" s="777"/>
      <c r="AU80" s="777"/>
      <c r="AV80" s="815"/>
      <c r="AW80" s="779"/>
      <c r="AX80" s="779"/>
      <c r="AY80" s="779"/>
      <c r="AZ80" s="779"/>
      <c r="BA80" s="813"/>
      <c r="BB80" s="813"/>
      <c r="BC80" s="813"/>
      <c r="BD80" s="813"/>
      <c r="BE80" s="817"/>
      <c r="BF80" s="818"/>
      <c r="BG80" s="816"/>
      <c r="DD80" s="481"/>
      <c r="DE80" s="481"/>
      <c r="DF80" s="481"/>
      <c r="DG80" s="481"/>
      <c r="DH80" s="481"/>
      <c r="DI80" s="481"/>
      <c r="DJ80" s="481"/>
      <c r="DK80" s="481"/>
      <c r="DL80" s="481"/>
      <c r="DM80" s="481"/>
      <c r="DN80" s="481"/>
      <c r="DO80" s="481"/>
      <c r="DP80" s="481"/>
    </row>
    <row r="81" spans="1:121" ht="15" customHeight="1" thickBot="1" x14ac:dyDescent="0.3">
      <c r="A81" s="771" t="s">
        <v>242</v>
      </c>
      <c r="B81" s="773" t="s">
        <v>44</v>
      </c>
      <c r="C81" s="774"/>
      <c r="D81" s="774"/>
      <c r="E81" s="775"/>
      <c r="F81" s="507">
        <f>'2021-22 ERC'!F75</f>
        <v>0</v>
      </c>
      <c r="G81" s="507">
        <f>'2021-22 ERC'!G75</f>
        <v>0</v>
      </c>
      <c r="H81" s="507">
        <f>'2021-22 ERC'!H75</f>
        <v>0</v>
      </c>
      <c r="I81" s="507">
        <f>'2021-22 ERC'!I75</f>
        <v>0</v>
      </c>
      <c r="J81" s="507">
        <f>'2021-22 ERC'!J75</f>
        <v>0</v>
      </c>
      <c r="K81" s="507">
        <f>'2021-22 ERC'!K75</f>
        <v>0</v>
      </c>
      <c r="L81" s="507">
        <f>'2021-22 ERC'!L75</f>
        <v>0</v>
      </c>
      <c r="M81" s="507">
        <f>'2021-22 ERC'!M75</f>
        <v>0</v>
      </c>
      <c r="N81" s="507">
        <f>'2021-22 ERC'!N75</f>
        <v>0</v>
      </c>
      <c r="O81" s="507">
        <f>'2021-22 ERC'!O75</f>
        <v>90</v>
      </c>
      <c r="P81" s="507">
        <f>'2021-22 ERC'!P75</f>
        <v>70</v>
      </c>
      <c r="Q81" s="507">
        <f>'2021-22 ERC'!Q75</f>
        <v>0</v>
      </c>
      <c r="R81" s="507">
        <f>'2021-22 ERC'!R75</f>
        <v>40</v>
      </c>
      <c r="S81" s="507">
        <f>'2021-22 ERC'!S75</f>
        <v>80</v>
      </c>
      <c r="T81" s="507">
        <f>'2021-22 ERC'!T75</f>
        <v>100</v>
      </c>
      <c r="U81" s="507">
        <f>'2021-22 ERC'!U75</f>
        <v>160</v>
      </c>
      <c r="V81" s="507">
        <f>'2021-22 ERC'!V75</f>
        <v>200</v>
      </c>
      <c r="W81" s="507">
        <f>'2021-22 ERC'!W75</f>
        <v>70</v>
      </c>
      <c r="X81" s="507">
        <f>'2021-22 ERC'!X75</f>
        <v>0</v>
      </c>
      <c r="Y81" s="507">
        <f>'2021-22 ERC'!Y75</f>
        <v>0</v>
      </c>
      <c r="Z81" s="507">
        <f>'2021-22 ERC'!Z75</f>
        <v>0</v>
      </c>
      <c r="AA81" s="507">
        <f>'2021-22 ERC'!AA75</f>
        <v>3</v>
      </c>
      <c r="AB81" s="507">
        <f>'2021-22 ERC'!AB75</f>
        <v>3</v>
      </c>
      <c r="AC81" s="507">
        <f>'2021-22 ERC'!AC75</f>
        <v>4</v>
      </c>
      <c r="AD81" s="507">
        <f>'2021-22 ERC'!AD75</f>
        <v>3</v>
      </c>
      <c r="AE81" s="507">
        <f>'2021-22 ERC'!AE75</f>
        <v>3</v>
      </c>
      <c r="AF81" s="507">
        <f>'2021-22 ERC'!AF75</f>
        <v>4</v>
      </c>
      <c r="AG81" s="507">
        <f>'2021-22 ERC'!AG75</f>
        <v>10</v>
      </c>
      <c r="AH81" s="507">
        <f>'2021-22 ERC'!AH75</f>
        <v>10</v>
      </c>
      <c r="AI81" s="507">
        <f>'2021-22 ERC'!AI75</f>
        <v>10</v>
      </c>
      <c r="AJ81" s="507">
        <f>'2021-22 ERC'!AJ75</f>
        <v>0</v>
      </c>
      <c r="AK81" s="507">
        <f>'2021-22 ERC'!AK75</f>
        <v>0</v>
      </c>
      <c r="AL81" s="507">
        <f>'2021-22 ERC'!AL75</f>
        <v>0</v>
      </c>
      <c r="AM81" s="507">
        <f>'2021-22 ERC'!AM75</f>
        <v>0</v>
      </c>
      <c r="AN81" s="507">
        <f>'2021-22 ERC'!AN75</f>
        <v>0</v>
      </c>
      <c r="AO81" s="507">
        <f>'2021-22 ERC'!AO75</f>
        <v>0</v>
      </c>
      <c r="AP81" s="507">
        <f>'2021-22 ERC'!AP75</f>
        <v>0</v>
      </c>
      <c r="AQ81" s="507">
        <f>'2021-22 ERC'!AQ75</f>
        <v>0</v>
      </c>
      <c r="AR81" s="507">
        <f>'2021-22 ERC'!AR75</f>
        <v>0</v>
      </c>
      <c r="AS81" s="776">
        <f t="shared" ref="AS81:AU81" si="55">F81+I81+L81+O81+R81+U81+X81+AA81+AD81+AG81+AJ81+AM81+AP81</f>
        <v>306</v>
      </c>
      <c r="AT81" s="776">
        <f t="shared" si="55"/>
        <v>366</v>
      </c>
      <c r="AU81" s="776">
        <f t="shared" si="55"/>
        <v>188</v>
      </c>
      <c r="AV81" s="814">
        <f t="shared" ref="AV81" si="56">SUM(AS81:AU82)</f>
        <v>860</v>
      </c>
      <c r="AW81" s="778">
        <f t="shared" ref="AW81:AX81" si="57">F82+I82+L82+O82+R82+U82+X82+AA82+AD82+AG82+AJ82+AM82+AP82</f>
        <v>430</v>
      </c>
      <c r="AX81" s="778">
        <f t="shared" si="57"/>
        <v>517</v>
      </c>
      <c r="AY81" s="778">
        <f>H82+K82+N82+Q82+T82+W82+Z82+AC82+AF82+AI82+AL82+AO82+AR82</f>
        <v>198</v>
      </c>
      <c r="AZ81" s="778">
        <f t="shared" ref="AZ81" si="58">SUM(AW81:AY82)</f>
        <v>1145</v>
      </c>
      <c r="BA81" s="812">
        <f>IFERROR(AW81/AS81,0)</f>
        <v>1.4052287581699345</v>
      </c>
      <c r="BB81" s="812">
        <f t="shared" ref="BB81" si="59">IFERROR(AX81/AT81,0)</f>
        <v>1.4125683060109289</v>
      </c>
      <c r="BC81" s="812">
        <f t="shared" ref="BC81" si="60">IFERROR(AY81/AU81,0)</f>
        <v>1.053191489361702</v>
      </c>
      <c r="BD81" s="812">
        <f t="shared" ref="BD81" si="61">IFERROR(AZ81/AV81,0)</f>
        <v>1.3313953488372092</v>
      </c>
      <c r="BE81" s="817"/>
      <c r="BF81" s="818"/>
      <c r="BG81" s="816"/>
      <c r="DD81" s="481"/>
      <c r="DE81" s="481"/>
      <c r="DF81" s="481"/>
      <c r="DG81" s="481"/>
      <c r="DH81" s="481"/>
      <c r="DI81" s="481"/>
      <c r="DJ81" s="481"/>
      <c r="DK81" s="481"/>
      <c r="DL81" s="481"/>
      <c r="DM81" s="481"/>
      <c r="DN81" s="481"/>
      <c r="DO81" s="481"/>
      <c r="DP81" s="481"/>
    </row>
    <row r="82" spans="1:121" ht="15.75" customHeight="1" thickBot="1" x14ac:dyDescent="0.3">
      <c r="A82" s="772"/>
      <c r="B82" s="780" t="s">
        <v>60</v>
      </c>
      <c r="C82" s="781"/>
      <c r="D82" s="781"/>
      <c r="E82" s="782"/>
      <c r="F82" s="207">
        <v>2</v>
      </c>
      <c r="G82" s="207"/>
      <c r="H82" s="207"/>
      <c r="I82" s="207">
        <v>5</v>
      </c>
      <c r="J82" s="207">
        <v>1</v>
      </c>
      <c r="K82" s="207"/>
      <c r="L82" s="207">
        <v>1</v>
      </c>
      <c r="M82" s="207"/>
      <c r="N82" s="207"/>
      <c r="O82" s="207">
        <v>129</v>
      </c>
      <c r="P82" s="207">
        <v>101</v>
      </c>
      <c r="Q82" s="207"/>
      <c r="R82" s="207">
        <v>113</v>
      </c>
      <c r="S82" s="207">
        <v>155</v>
      </c>
      <c r="T82" s="207">
        <v>126</v>
      </c>
      <c r="U82" s="207">
        <v>177</v>
      </c>
      <c r="V82" s="207">
        <v>250</v>
      </c>
      <c r="W82" s="207">
        <v>59</v>
      </c>
      <c r="X82" s="207"/>
      <c r="Y82" s="207"/>
      <c r="Z82" s="207"/>
      <c r="AA82" s="207"/>
      <c r="AB82" s="207">
        <v>2</v>
      </c>
      <c r="AC82" s="207">
        <v>12</v>
      </c>
      <c r="AD82" s="207"/>
      <c r="AE82" s="207">
        <v>3</v>
      </c>
      <c r="AF82" s="207"/>
      <c r="AG82" s="207">
        <v>3</v>
      </c>
      <c r="AH82" s="207">
        <v>5</v>
      </c>
      <c r="AI82" s="207">
        <v>1</v>
      </c>
      <c r="AJ82" s="207"/>
      <c r="AK82" s="207"/>
      <c r="AL82" s="207"/>
      <c r="AM82" s="207"/>
      <c r="AN82" s="207"/>
      <c r="AO82" s="207"/>
      <c r="AP82" s="207"/>
      <c r="AQ82" s="207"/>
      <c r="AR82" s="207"/>
      <c r="AS82" s="777"/>
      <c r="AT82" s="777"/>
      <c r="AU82" s="777"/>
      <c r="AV82" s="815"/>
      <c r="AW82" s="779"/>
      <c r="AX82" s="779"/>
      <c r="AY82" s="779"/>
      <c r="AZ82" s="779"/>
      <c r="BA82" s="813"/>
      <c r="BB82" s="813"/>
      <c r="BC82" s="813"/>
      <c r="BD82" s="813"/>
      <c r="BE82" s="817"/>
      <c r="BF82" s="818"/>
      <c r="BG82" s="816"/>
      <c r="DD82" s="481"/>
      <c r="DE82" s="481"/>
      <c r="DF82" s="481"/>
      <c r="DG82" s="481"/>
      <c r="DH82" s="481"/>
      <c r="DI82" s="481"/>
      <c r="DJ82" s="481"/>
      <c r="DK82" s="481"/>
      <c r="DL82" s="481"/>
      <c r="DM82" s="481"/>
      <c r="DN82" s="481"/>
      <c r="DO82" s="481"/>
      <c r="DP82" s="481"/>
    </row>
    <row r="83" spans="1:121" ht="15.75" customHeight="1" thickBot="1" x14ac:dyDescent="0.3">
      <c r="A83" s="110"/>
      <c r="B83" s="330"/>
      <c r="C83" s="111"/>
      <c r="D83" s="111"/>
      <c r="E83" s="111"/>
      <c r="F83" s="396"/>
      <c r="G83" s="396"/>
      <c r="H83" s="396"/>
      <c r="I83" s="396"/>
      <c r="J83" s="396"/>
      <c r="K83" s="396"/>
      <c r="L83" s="396"/>
      <c r="M83" s="396"/>
      <c r="N83" s="396"/>
      <c r="O83" s="396"/>
      <c r="P83" s="396"/>
      <c r="Q83" s="396"/>
      <c r="R83" s="396"/>
      <c r="S83" s="396"/>
      <c r="T83" s="396"/>
      <c r="U83" s="396"/>
      <c r="V83" s="396"/>
      <c r="W83" s="396"/>
      <c r="X83" s="396"/>
      <c r="Y83" s="396"/>
      <c r="Z83" s="396"/>
      <c r="AA83" s="396"/>
      <c r="AB83" s="396"/>
      <c r="AC83" s="396"/>
      <c r="AD83" s="396"/>
      <c r="AE83" s="396"/>
      <c r="AF83" s="396"/>
      <c r="AG83" s="396"/>
      <c r="AH83" s="396"/>
      <c r="AI83" s="396"/>
      <c r="AJ83" s="396"/>
      <c r="AK83" s="396"/>
      <c r="AL83" s="396"/>
      <c r="AM83" s="396"/>
      <c r="AN83" s="396"/>
      <c r="AO83" s="396"/>
      <c r="AP83" s="396"/>
      <c r="AQ83" s="396"/>
      <c r="AR83" s="508"/>
      <c r="AS83" s="208">
        <f>SUM(AS77:AS82)</f>
        <v>697</v>
      </c>
      <c r="AT83" s="208">
        <f t="shared" ref="AT83:AV83" si="62">SUM(AT77:AT82)</f>
        <v>957</v>
      </c>
      <c r="AU83" s="208">
        <f t="shared" si="62"/>
        <v>446</v>
      </c>
      <c r="AV83" s="208">
        <f t="shared" si="62"/>
        <v>2100</v>
      </c>
      <c r="AW83" s="264">
        <f>SUM(AW77:AW82)</f>
        <v>809</v>
      </c>
      <c r="AX83" s="264">
        <f t="shared" ref="AX83:AZ83" si="63">SUM(AX77:AX82)</f>
        <v>969</v>
      </c>
      <c r="AY83" s="264">
        <f t="shared" si="63"/>
        <v>434</v>
      </c>
      <c r="AZ83" s="264">
        <f t="shared" si="63"/>
        <v>2212</v>
      </c>
      <c r="BA83" s="265">
        <f>IFERROR(AW83/AS83,0)</f>
        <v>1.1606886657101865</v>
      </c>
      <c r="BB83" s="265">
        <f t="shared" ref="BB83:BD83" si="64">IFERROR(AX83/AT83,0)</f>
        <v>1.0125391849529781</v>
      </c>
      <c r="BC83" s="265">
        <f t="shared" si="64"/>
        <v>0.97309417040358748</v>
      </c>
      <c r="BD83" s="265">
        <f t="shared" si="64"/>
        <v>1.0533333333333332</v>
      </c>
      <c r="BE83" s="817"/>
      <c r="BF83" s="818"/>
      <c r="BG83" s="816"/>
      <c r="DD83" s="481"/>
      <c r="DE83" s="481"/>
      <c r="DF83" s="481"/>
      <c r="DG83" s="481"/>
      <c r="DH83" s="481"/>
      <c r="DI83" s="481"/>
      <c r="DJ83" s="481"/>
      <c r="DK83" s="481"/>
      <c r="DL83" s="481"/>
      <c r="DM83" s="481"/>
      <c r="DN83" s="481"/>
      <c r="DO83" s="481"/>
      <c r="DP83" s="481"/>
    </row>
    <row r="84" spans="1:121" ht="15.75" customHeight="1" thickBot="1" x14ac:dyDescent="0.3">
      <c r="A84" s="327"/>
      <c r="B84" s="326"/>
      <c r="C84" s="112"/>
      <c r="D84" s="112"/>
      <c r="E84" s="112"/>
      <c r="F84" s="509"/>
      <c r="G84" s="509"/>
      <c r="H84" s="509"/>
      <c r="I84" s="509"/>
      <c r="J84" s="509"/>
      <c r="K84" s="509"/>
      <c r="L84" s="509"/>
      <c r="M84" s="509"/>
      <c r="N84" s="509"/>
      <c r="O84" s="509"/>
      <c r="P84" s="509"/>
      <c r="Q84" s="509"/>
      <c r="R84" s="509"/>
      <c r="S84" s="509"/>
      <c r="T84" s="509"/>
      <c r="U84" s="509"/>
      <c r="V84" s="509"/>
      <c r="W84" s="509"/>
      <c r="X84" s="509"/>
      <c r="Y84" s="509"/>
      <c r="Z84" s="509"/>
      <c r="AA84" s="509"/>
      <c r="AB84" s="509"/>
      <c r="AC84" s="509"/>
      <c r="AD84" s="509"/>
      <c r="AE84" s="509"/>
      <c r="AF84" s="509"/>
      <c r="AG84" s="509"/>
      <c r="AH84" s="509"/>
      <c r="AI84" s="509"/>
      <c r="AJ84" s="509"/>
      <c r="AK84" s="509"/>
      <c r="AL84" s="509"/>
      <c r="AM84" s="509"/>
      <c r="AN84" s="509"/>
      <c r="AO84" s="509"/>
      <c r="AP84" s="509"/>
      <c r="AQ84" s="509"/>
      <c r="AR84" s="509"/>
      <c r="AS84" s="209"/>
      <c r="AT84" s="209"/>
      <c r="AU84" s="209"/>
      <c r="AV84" s="210"/>
      <c r="AW84" s="211"/>
      <c r="AX84" s="211"/>
      <c r="AY84" s="211"/>
      <c r="AZ84" s="212"/>
      <c r="BA84" s="113"/>
      <c r="BB84" s="113"/>
      <c r="BC84" s="113"/>
      <c r="BD84" s="114"/>
      <c r="BE84" s="480"/>
      <c r="BF84" s="480"/>
      <c r="DD84" s="481"/>
      <c r="DE84" s="481"/>
      <c r="DF84" s="481"/>
      <c r="DG84" s="481"/>
      <c r="DH84" s="481"/>
      <c r="DI84" s="481"/>
      <c r="DJ84" s="481"/>
      <c r="DK84" s="481"/>
      <c r="DL84" s="481"/>
      <c r="DM84" s="481"/>
      <c r="DN84" s="481"/>
      <c r="DO84" s="481"/>
      <c r="DP84" s="481"/>
    </row>
    <row r="85" spans="1:121" ht="19.5" customHeight="1" thickBot="1" x14ac:dyDescent="0.3">
      <c r="A85" s="849" t="s">
        <v>243</v>
      </c>
      <c r="B85" s="773" t="s">
        <v>44</v>
      </c>
      <c r="C85" s="774"/>
      <c r="D85" s="774"/>
      <c r="E85" s="775"/>
      <c r="F85" s="819">
        <f>F77+G77+H77+F79+G79+H79+F81+G81+H81</f>
        <v>0</v>
      </c>
      <c r="G85" s="820"/>
      <c r="H85" s="821"/>
      <c r="I85" s="819">
        <f>I77+J77+K77+I79+J79+K79+I81+J81+K81</f>
        <v>0</v>
      </c>
      <c r="J85" s="820"/>
      <c r="K85" s="821"/>
      <c r="L85" s="819">
        <f>L77+M77+N77+L79+M79+N79+L81+M81+N81</f>
        <v>0</v>
      </c>
      <c r="M85" s="820"/>
      <c r="N85" s="821"/>
      <c r="O85" s="819">
        <f>O77+P77+Q77+O79+P79+Q79+O81+P81+Q81</f>
        <v>370</v>
      </c>
      <c r="P85" s="820"/>
      <c r="Q85" s="821"/>
      <c r="R85" s="819">
        <f>R77+S77+T77+R79+S79+T79+R81+S81+T81</f>
        <v>730</v>
      </c>
      <c r="S85" s="820"/>
      <c r="T85" s="821"/>
      <c r="U85" s="819">
        <f>U77+V77+W77+U79+V79+W79+U81+V81+W81</f>
        <v>820</v>
      </c>
      <c r="V85" s="820"/>
      <c r="W85" s="821"/>
      <c r="X85" s="819">
        <f>X77+Y77+Z77+X79+Y79+Z79+X81+Y81+Z81</f>
        <v>0</v>
      </c>
      <c r="Y85" s="820"/>
      <c r="Z85" s="821"/>
      <c r="AA85" s="819">
        <f>AA77+AB77+AC77+AA79+AB79+AC79+AA81+AB81+AC81</f>
        <v>20</v>
      </c>
      <c r="AB85" s="820"/>
      <c r="AC85" s="821"/>
      <c r="AD85" s="819">
        <f>AD77+AE77+AF77+AD79+AE79+AF79+AD81+AE81+AF81</f>
        <v>20</v>
      </c>
      <c r="AE85" s="820"/>
      <c r="AF85" s="821"/>
      <c r="AG85" s="819">
        <f>AG77+AH77+AI77+AG79+AH79+AI79+AG81+AH81+AI81</f>
        <v>140</v>
      </c>
      <c r="AH85" s="820"/>
      <c r="AI85" s="821"/>
      <c r="AJ85" s="819">
        <f>AJ77+AK77+AL77+AJ79+AK79+AL79+AJ81+AK81+AL81</f>
        <v>0</v>
      </c>
      <c r="AK85" s="820"/>
      <c r="AL85" s="821"/>
      <c r="AM85" s="819">
        <f>AM77+AN77+AO77+AM79+AN79+AO79+AM81+AN81+AO81</f>
        <v>0</v>
      </c>
      <c r="AN85" s="820"/>
      <c r="AO85" s="821"/>
      <c r="AP85" s="819">
        <f>AP77+AQ77+AR77+AP79+AQ79+AR79+AP81+AQ81+AR81</f>
        <v>0</v>
      </c>
      <c r="AQ85" s="820"/>
      <c r="AR85" s="821"/>
      <c r="AS85" s="213" t="s">
        <v>232</v>
      </c>
      <c r="AT85" s="213" t="s">
        <v>233</v>
      </c>
      <c r="AU85" s="213" t="s">
        <v>244</v>
      </c>
      <c r="AV85" s="510"/>
      <c r="AW85" s="267" t="s">
        <v>232</v>
      </c>
      <c r="AX85" s="267" t="s">
        <v>233</v>
      </c>
      <c r="AY85" s="267" t="s">
        <v>234</v>
      </c>
      <c r="AZ85" s="510"/>
      <c r="BA85" s="263" t="s">
        <v>232</v>
      </c>
      <c r="BB85" s="263" t="s">
        <v>233</v>
      </c>
      <c r="BC85" s="263" t="s">
        <v>234</v>
      </c>
      <c r="BD85" s="511"/>
      <c r="BF85" s="480"/>
      <c r="DP85" s="481"/>
    </row>
    <row r="86" spans="1:121" ht="19.5" customHeight="1" thickBot="1" x14ac:dyDescent="0.3">
      <c r="A86" s="850"/>
      <c r="B86" s="822" t="s">
        <v>60</v>
      </c>
      <c r="C86" s="823"/>
      <c r="D86" s="823"/>
      <c r="E86" s="824"/>
      <c r="F86" s="825">
        <f>F78+G78+H78+F80+G80+H80+F82+G82+H82</f>
        <v>2</v>
      </c>
      <c r="G86" s="826"/>
      <c r="H86" s="827"/>
      <c r="I86" s="825">
        <f>I78+J78+K78+I80+J80+K80+I82+J82+K82</f>
        <v>25</v>
      </c>
      <c r="J86" s="826"/>
      <c r="K86" s="827"/>
      <c r="L86" s="825">
        <f>L78+M78+N78+L80+M80+N80+L82+M82+N82</f>
        <v>12</v>
      </c>
      <c r="M86" s="826"/>
      <c r="N86" s="827"/>
      <c r="O86" s="825">
        <f>O78+P78+Q78+O80+P80+Q80+O82+P82+Q82</f>
        <v>477</v>
      </c>
      <c r="P86" s="826"/>
      <c r="Q86" s="827"/>
      <c r="R86" s="825">
        <f>R78+S78+T78+R80+S80+T80+R82+S82+T82</f>
        <v>788</v>
      </c>
      <c r="S86" s="826"/>
      <c r="T86" s="827"/>
      <c r="U86" s="825">
        <f>U78+V78+W78+U80+V80+W80+U82+V82+W82</f>
        <v>703</v>
      </c>
      <c r="V86" s="826"/>
      <c r="W86" s="827"/>
      <c r="X86" s="825">
        <f>X78+Y78+Z78+X80+Y80+Z80+X82+Y82+Z82</f>
        <v>5</v>
      </c>
      <c r="Y86" s="826"/>
      <c r="Z86" s="827"/>
      <c r="AA86" s="825">
        <f>AA78+AB78+AC78+AA80+AB80+AC80+AA82+AB82+AC82</f>
        <v>80</v>
      </c>
      <c r="AB86" s="826"/>
      <c r="AC86" s="827"/>
      <c r="AD86" s="825">
        <f>AD78+AE78+AF78+AD80+AE80+AF80+AD82+AE82+AF82</f>
        <v>18</v>
      </c>
      <c r="AE86" s="826"/>
      <c r="AF86" s="827"/>
      <c r="AG86" s="825">
        <f>AG78+AH78+AI78+AG80+AH80+AI80+AG82+AH82+AI82</f>
        <v>102</v>
      </c>
      <c r="AH86" s="826"/>
      <c r="AI86" s="827"/>
      <c r="AJ86" s="825">
        <f>AJ78+AK78+AL78+AJ80+AK80+AL80+AJ82+AK82+AL82</f>
        <v>0</v>
      </c>
      <c r="AK86" s="826"/>
      <c r="AL86" s="827"/>
      <c r="AM86" s="825">
        <f>AM78+AN78+AO78+AM80+AN80+AO80+AM82+AN82+AO82</f>
        <v>0</v>
      </c>
      <c r="AN86" s="826"/>
      <c r="AO86" s="827"/>
      <c r="AP86" s="825">
        <f>AP78+AQ78+AR78+AP80+AQ80+AR80+AP82+AQ82+AR82</f>
        <v>0</v>
      </c>
      <c r="AQ86" s="826"/>
      <c r="AR86" s="827"/>
      <c r="AS86" s="214">
        <f>F85+O85+X85+AJ85</f>
        <v>370</v>
      </c>
      <c r="AT86" s="214">
        <f>I85+R85+AA85+AM85</f>
        <v>750</v>
      </c>
      <c r="AU86" s="214">
        <f>L85+U85+AD85+AG85+AP85</f>
        <v>980</v>
      </c>
      <c r="AV86" s="215"/>
      <c r="AW86" s="268">
        <f>F86+O86+X86+AJ86</f>
        <v>484</v>
      </c>
      <c r="AX86" s="268">
        <f>I86+R86+AA86+AM86</f>
        <v>893</v>
      </c>
      <c r="AY86" s="268">
        <f>L86+U86+AD86+AG86+AP86</f>
        <v>835</v>
      </c>
      <c r="AZ86" s="215"/>
      <c r="BA86" s="269">
        <f>IFERROR(AW86/AS86,0)</f>
        <v>1.3081081081081081</v>
      </c>
      <c r="BB86" s="269">
        <f t="shared" ref="BB86:BC86" si="65">IFERROR(AX86/AT86,0)</f>
        <v>1.1906666666666668</v>
      </c>
      <c r="BC86" s="269">
        <f t="shared" si="65"/>
        <v>0.85204081632653061</v>
      </c>
      <c r="BD86" s="115"/>
      <c r="BE86" s="480"/>
      <c r="BF86" s="480"/>
      <c r="DJ86" s="481"/>
      <c r="DK86" s="481"/>
      <c r="DL86" s="481"/>
      <c r="DM86" s="481"/>
      <c r="DN86" s="481"/>
      <c r="DO86" s="481"/>
      <c r="DP86" s="481"/>
    </row>
    <row r="87" spans="1:121" x14ac:dyDescent="0.25">
      <c r="E87" s="116"/>
      <c r="AO87" s="117"/>
      <c r="AP87" s="117"/>
      <c r="AQ87" s="117"/>
      <c r="BA87" s="480"/>
      <c r="BB87" s="480"/>
      <c r="BC87" s="480"/>
      <c r="BD87" s="480"/>
      <c r="BE87" s="480"/>
      <c r="BF87" s="480"/>
      <c r="DK87" s="481"/>
      <c r="DL87" s="481"/>
      <c r="DM87" s="481"/>
      <c r="DN87" s="481"/>
      <c r="DO87" s="481"/>
      <c r="DP87" s="481"/>
    </row>
    <row r="88" spans="1:121" x14ac:dyDescent="0.25">
      <c r="C88" s="116"/>
      <c r="D88" s="116"/>
      <c r="E88" s="116"/>
      <c r="BG88" s="116"/>
      <c r="DQ88" s="480"/>
    </row>
    <row r="89" spans="1:121" x14ac:dyDescent="0.25">
      <c r="C89" s="116"/>
      <c r="D89" s="116"/>
      <c r="E89" s="116"/>
      <c r="BG89" s="116"/>
      <c r="DQ89" s="480"/>
    </row>
    <row r="90" spans="1:121" x14ac:dyDescent="0.25">
      <c r="E90" s="116"/>
      <c r="AY90" s="480"/>
      <c r="AZ90" s="480"/>
      <c r="BA90" s="480"/>
      <c r="BB90" s="480"/>
      <c r="BC90" s="480"/>
      <c r="BD90" s="480"/>
      <c r="BE90" s="480"/>
      <c r="BF90" s="480"/>
      <c r="DI90" s="481"/>
      <c r="DJ90" s="481"/>
      <c r="DK90" s="481"/>
      <c r="DL90" s="481"/>
      <c r="DM90" s="481"/>
      <c r="DN90" s="481"/>
      <c r="DO90" s="481"/>
      <c r="DP90" s="481"/>
    </row>
    <row r="91" spans="1:121" ht="15.75" thickBot="1" x14ac:dyDescent="0.3">
      <c r="E91" s="116"/>
      <c r="AZ91" s="480"/>
      <c r="BA91" s="480"/>
      <c r="BB91" s="480"/>
      <c r="BC91" s="480"/>
      <c r="BD91" s="480"/>
      <c r="BE91" s="480"/>
      <c r="BF91" s="480"/>
      <c r="DJ91" s="481"/>
      <c r="DK91" s="481"/>
      <c r="DL91" s="481"/>
      <c r="DM91" s="481"/>
      <c r="DN91" s="481"/>
      <c r="DO91" s="481"/>
      <c r="DP91" s="481"/>
    </row>
    <row r="92" spans="1:121" ht="15.75" thickBot="1" x14ac:dyDescent="0.3">
      <c r="A92" s="792" t="s">
        <v>245</v>
      </c>
      <c r="B92" s="793"/>
      <c r="C92" s="793"/>
      <c r="D92" s="793"/>
      <c r="E92" s="793"/>
      <c r="F92" s="793"/>
      <c r="G92" s="793"/>
      <c r="H92" s="793"/>
      <c r="I92" s="793"/>
      <c r="J92" s="793"/>
      <c r="K92" s="793"/>
      <c r="L92" s="793"/>
      <c r="M92" s="799"/>
      <c r="AI92" s="506"/>
      <c r="AJ92" s="506"/>
      <c r="AK92" s="506"/>
      <c r="AL92" s="506"/>
      <c r="AM92" s="506"/>
      <c r="AN92" s="506"/>
      <c r="AO92" s="480"/>
      <c r="AP92" s="480"/>
      <c r="AQ92" s="480"/>
      <c r="AR92" s="480"/>
      <c r="AS92" s="480"/>
      <c r="AT92" s="480"/>
      <c r="AU92" s="480"/>
      <c r="AV92" s="480"/>
      <c r="AW92" s="480"/>
      <c r="AX92" s="480"/>
      <c r="AY92" s="480"/>
      <c r="AZ92" s="480"/>
      <c r="BA92" s="480"/>
      <c r="BB92" s="480"/>
      <c r="BC92" s="480"/>
      <c r="BD92" s="480"/>
      <c r="BE92" s="480"/>
      <c r="BF92" s="480"/>
      <c r="CS92" s="481"/>
      <c r="CT92" s="481"/>
      <c r="CU92" s="481"/>
      <c r="CV92" s="481"/>
      <c r="CW92" s="481"/>
      <c r="CX92" s="481"/>
      <c r="CY92" s="481"/>
      <c r="CZ92" s="481"/>
      <c r="DA92" s="481"/>
      <c r="DB92" s="481"/>
      <c r="DC92" s="481"/>
      <c r="DD92" s="481"/>
      <c r="DE92" s="481"/>
      <c r="DF92" s="481"/>
      <c r="DG92" s="481"/>
      <c r="DH92" s="481"/>
      <c r="DI92" s="481"/>
      <c r="DJ92" s="481"/>
      <c r="DK92" s="481"/>
      <c r="DL92" s="481"/>
      <c r="DM92" s="481"/>
      <c r="DN92" s="481"/>
      <c r="DO92" s="481"/>
      <c r="DP92" s="481"/>
    </row>
    <row r="93" spans="1:121" ht="101.25" customHeight="1" thickBot="1" x14ac:dyDescent="0.3">
      <c r="A93" s="842" t="s">
        <v>82</v>
      </c>
      <c r="B93" s="765"/>
      <c r="C93" s="325"/>
      <c r="D93" s="325"/>
      <c r="E93" s="325"/>
      <c r="F93" s="324" t="s">
        <v>246</v>
      </c>
      <c r="G93" s="324" t="s">
        <v>247</v>
      </c>
      <c r="H93" s="324" t="s">
        <v>51</v>
      </c>
      <c r="I93" s="118" t="s">
        <v>248</v>
      </c>
      <c r="J93" s="119" t="s">
        <v>249</v>
      </c>
      <c r="K93" s="119" t="s">
        <v>44</v>
      </c>
      <c r="L93" s="119" t="s">
        <v>60</v>
      </c>
      <c r="M93" s="119" t="s">
        <v>181</v>
      </c>
      <c r="AO93" s="506"/>
      <c r="AP93" s="506"/>
      <c r="AQ93" s="506"/>
      <c r="AR93" s="506"/>
      <c r="AS93" s="506"/>
      <c r="AT93" s="506"/>
      <c r="AU93" s="480"/>
      <c r="AV93" s="480"/>
      <c r="AW93" s="480"/>
      <c r="AX93" s="480"/>
      <c r="AY93" s="480"/>
      <c r="AZ93" s="480"/>
      <c r="BA93" s="480"/>
      <c r="BB93" s="480"/>
      <c r="BC93" s="480"/>
      <c r="BD93" s="480"/>
      <c r="BE93" s="480"/>
      <c r="BF93" s="480"/>
      <c r="CY93" s="481"/>
      <c r="CZ93" s="481"/>
      <c r="DA93" s="481"/>
      <c r="DB93" s="481"/>
      <c r="DC93" s="481"/>
      <c r="DD93" s="481"/>
      <c r="DE93" s="481"/>
      <c r="DF93" s="481"/>
      <c r="DG93" s="481"/>
      <c r="DH93" s="481"/>
      <c r="DI93" s="481"/>
      <c r="DJ93" s="481"/>
      <c r="DK93" s="481"/>
      <c r="DL93" s="481"/>
      <c r="DM93" s="481"/>
      <c r="DN93" s="481"/>
      <c r="DO93" s="481"/>
      <c r="DP93" s="481"/>
    </row>
    <row r="94" spans="1:121" ht="15.75" customHeight="1" thickBot="1" x14ac:dyDescent="0.3">
      <c r="A94" s="843" t="s">
        <v>76</v>
      </c>
      <c r="B94" s="847" t="s">
        <v>158</v>
      </c>
      <c r="C94" s="830" t="s">
        <v>44</v>
      </c>
      <c r="D94" s="831"/>
      <c r="E94" s="832"/>
      <c r="F94" s="503">
        <f>'2021-22 ERC'!F88</f>
        <v>0</v>
      </c>
      <c r="G94" s="503">
        <f>'2021-22 ERC'!G88</f>
        <v>392</v>
      </c>
      <c r="H94" s="503">
        <f>'2021-22 ERC'!H88</f>
        <v>0</v>
      </c>
      <c r="I94" s="503">
        <f>'2021-22 ERC'!I88</f>
        <v>0</v>
      </c>
      <c r="J94" s="503">
        <f>'2021-22 ERC'!J88</f>
        <v>0</v>
      </c>
      <c r="K94" s="833">
        <f>SUM(F94:J94)</f>
        <v>392</v>
      </c>
      <c r="L94" s="835">
        <f>SUM(F95:J95)</f>
        <v>537</v>
      </c>
      <c r="M94" s="837">
        <f>IFERROR(L94/K94,0)</f>
        <v>1.3698979591836735</v>
      </c>
      <c r="N94" s="481"/>
      <c r="O94" s="481"/>
      <c r="V94" s="481"/>
      <c r="W94" s="481"/>
      <c r="X94" s="481"/>
      <c r="Y94" s="481"/>
      <c r="Z94" s="481"/>
      <c r="AA94" s="481"/>
      <c r="AB94" s="481"/>
      <c r="AC94" s="481"/>
      <c r="AO94" s="506"/>
      <c r="AP94" s="506"/>
      <c r="AQ94" s="506"/>
      <c r="AR94" s="506"/>
      <c r="AS94" s="506"/>
      <c r="AT94" s="506"/>
      <c r="AU94" s="480"/>
      <c r="AV94" s="480"/>
      <c r="AW94" s="480"/>
      <c r="AX94" s="480"/>
      <c r="AY94" s="480"/>
      <c r="AZ94" s="480"/>
      <c r="BA94" s="480"/>
      <c r="BB94" s="480"/>
      <c r="BC94" s="480"/>
      <c r="BD94" s="480"/>
      <c r="BE94" s="480"/>
      <c r="BF94" s="480"/>
      <c r="CY94" s="481"/>
      <c r="CZ94" s="481"/>
      <c r="DA94" s="481"/>
      <c r="DB94" s="481"/>
      <c r="DC94" s="481"/>
      <c r="DD94" s="481"/>
      <c r="DE94" s="481"/>
      <c r="DF94" s="481"/>
      <c r="DG94" s="481"/>
      <c r="DH94" s="481"/>
      <c r="DI94" s="481"/>
      <c r="DJ94" s="481"/>
      <c r="DK94" s="481"/>
      <c r="DL94" s="481"/>
      <c r="DM94" s="481"/>
      <c r="DN94" s="481"/>
      <c r="DO94" s="481"/>
      <c r="DP94" s="481"/>
    </row>
    <row r="95" spans="1:121" ht="33" customHeight="1" thickBot="1" x14ac:dyDescent="0.3">
      <c r="A95" s="844"/>
      <c r="B95" s="848"/>
      <c r="C95" s="839" t="s">
        <v>60</v>
      </c>
      <c r="D95" s="840"/>
      <c r="E95" s="841"/>
      <c r="F95" s="216"/>
      <c r="G95" s="216">
        <v>537</v>
      </c>
      <c r="H95" s="216"/>
      <c r="I95" s="217"/>
      <c r="J95" s="217"/>
      <c r="K95" s="834"/>
      <c r="L95" s="836"/>
      <c r="M95" s="838"/>
      <c r="N95" s="481"/>
      <c r="O95" s="481"/>
      <c r="V95" s="481"/>
      <c r="W95" s="481"/>
      <c r="X95" s="481"/>
      <c r="Y95" s="481"/>
      <c r="Z95" s="481"/>
      <c r="AA95" s="481"/>
      <c r="AB95" s="481"/>
      <c r="AC95" s="481"/>
      <c r="AO95" s="506"/>
      <c r="AP95" s="506"/>
      <c r="AQ95" s="506"/>
      <c r="AR95" s="506"/>
      <c r="AS95" s="506"/>
      <c r="AT95" s="506"/>
      <c r="AU95" s="480"/>
      <c r="AV95" s="480"/>
      <c r="AW95" s="480"/>
      <c r="AX95" s="480"/>
      <c r="AY95" s="480"/>
      <c r="AZ95" s="480"/>
      <c r="BA95" s="480"/>
      <c r="BB95" s="480"/>
      <c r="BC95" s="480"/>
      <c r="BD95" s="480"/>
      <c r="BE95" s="480"/>
      <c r="BF95" s="480"/>
      <c r="CY95" s="481"/>
      <c r="CZ95" s="481"/>
      <c r="DA95" s="481"/>
      <c r="DB95" s="481"/>
      <c r="DC95" s="481"/>
      <c r="DD95" s="481"/>
      <c r="DE95" s="481"/>
      <c r="DF95" s="481"/>
      <c r="DG95" s="481"/>
      <c r="DH95" s="481"/>
      <c r="DI95" s="481"/>
      <c r="DJ95" s="481"/>
      <c r="DK95" s="481"/>
      <c r="DL95" s="481"/>
      <c r="DM95" s="481"/>
      <c r="DN95" s="481"/>
      <c r="DO95" s="481"/>
      <c r="DP95" s="481"/>
    </row>
    <row r="96" spans="1:121" ht="15.75" customHeight="1" thickBot="1" x14ac:dyDescent="0.3">
      <c r="A96" s="845"/>
      <c r="B96" s="828" t="s">
        <v>156</v>
      </c>
      <c r="C96" s="830" t="s">
        <v>44</v>
      </c>
      <c r="D96" s="831"/>
      <c r="E96" s="832"/>
      <c r="F96" s="503">
        <f>'2021-22 ERC'!F90</f>
        <v>0</v>
      </c>
      <c r="G96" s="503">
        <f>'2021-22 ERC'!G90</f>
        <v>35</v>
      </c>
      <c r="H96" s="503">
        <f>'2021-22 ERC'!H90</f>
        <v>0</v>
      </c>
      <c r="I96" s="503">
        <f>'2021-22 ERC'!I90</f>
        <v>0</v>
      </c>
      <c r="J96" s="503">
        <f>'2021-22 ERC'!J90</f>
        <v>0</v>
      </c>
      <c r="K96" s="833">
        <f>SUM(F96:J96)</f>
        <v>35</v>
      </c>
      <c r="L96" s="835">
        <f>SUM(F97:J97)</f>
        <v>33</v>
      </c>
      <c r="M96" s="837">
        <f>IFERROR(L96/K96,0)</f>
        <v>0.94285714285714284</v>
      </c>
      <c r="N96" s="481"/>
      <c r="O96" s="481"/>
      <c r="V96" s="481"/>
      <c r="W96" s="481"/>
      <c r="X96" s="481"/>
      <c r="Y96" s="481"/>
      <c r="Z96" s="481"/>
      <c r="AA96" s="481"/>
      <c r="AB96" s="481"/>
      <c r="AC96" s="481"/>
      <c r="AO96" s="506"/>
      <c r="AP96" s="506"/>
      <c r="AQ96" s="506"/>
      <c r="AR96" s="506"/>
      <c r="AS96" s="506"/>
      <c r="AT96" s="506"/>
      <c r="AU96" s="480"/>
      <c r="AV96" s="480"/>
      <c r="AW96" s="480"/>
      <c r="AX96" s="480"/>
      <c r="AY96" s="480"/>
      <c r="AZ96" s="480"/>
      <c r="BA96" s="480"/>
      <c r="BB96" s="480"/>
      <c r="BC96" s="480"/>
      <c r="BD96" s="480"/>
      <c r="BE96" s="480"/>
      <c r="BF96" s="480"/>
      <c r="CY96" s="481"/>
      <c r="CZ96" s="481"/>
      <c r="DA96" s="481"/>
      <c r="DB96" s="481"/>
      <c r="DC96" s="481"/>
      <c r="DD96" s="481"/>
      <c r="DE96" s="481"/>
      <c r="DF96" s="481"/>
      <c r="DG96" s="481"/>
      <c r="DH96" s="481"/>
      <c r="DI96" s="481"/>
      <c r="DJ96" s="481"/>
      <c r="DK96" s="481"/>
      <c r="DL96" s="481"/>
      <c r="DM96" s="481"/>
      <c r="DN96" s="481"/>
      <c r="DO96" s="481"/>
      <c r="DP96" s="481"/>
    </row>
    <row r="97" spans="1:120" ht="37.5" customHeight="1" thickBot="1" x14ac:dyDescent="0.3">
      <c r="A97" s="846"/>
      <c r="B97" s="829"/>
      <c r="C97" s="839" t="s">
        <v>60</v>
      </c>
      <c r="D97" s="840"/>
      <c r="E97" s="841"/>
      <c r="F97" s="216"/>
      <c r="G97" s="216">
        <v>33</v>
      </c>
      <c r="H97" s="216"/>
      <c r="I97" s="217"/>
      <c r="J97" s="217"/>
      <c r="K97" s="834"/>
      <c r="L97" s="836"/>
      <c r="M97" s="838"/>
      <c r="N97" s="481"/>
      <c r="O97" s="481"/>
      <c r="P97" s="481"/>
      <c r="Q97" s="481"/>
      <c r="R97" s="481"/>
      <c r="S97" s="481"/>
      <c r="T97" s="481"/>
      <c r="U97" s="481"/>
      <c r="V97" s="481"/>
      <c r="W97" s="481"/>
      <c r="X97" s="481"/>
      <c r="Y97" s="481"/>
      <c r="Z97" s="481"/>
      <c r="AA97" s="481"/>
      <c r="AM97" s="506"/>
      <c r="AN97" s="506"/>
      <c r="AO97" s="506"/>
      <c r="AP97" s="506"/>
      <c r="AQ97" s="506"/>
      <c r="AR97" s="506"/>
      <c r="AS97" s="480"/>
      <c r="AT97" s="480"/>
      <c r="AU97" s="480"/>
      <c r="AV97" s="480"/>
      <c r="AW97" s="480"/>
      <c r="AX97" s="480"/>
      <c r="AY97" s="480"/>
      <c r="AZ97" s="480"/>
      <c r="BA97" s="480"/>
      <c r="BB97" s="480"/>
      <c r="BC97" s="480"/>
      <c r="BD97" s="480"/>
      <c r="BE97" s="480"/>
      <c r="BF97" s="480"/>
      <c r="CW97" s="481"/>
      <c r="CX97" s="481"/>
      <c r="CY97" s="481"/>
      <c r="CZ97" s="481"/>
      <c r="DA97" s="481"/>
      <c r="DB97" s="481"/>
      <c r="DC97" s="481"/>
      <c r="DD97" s="481"/>
      <c r="DE97" s="481"/>
      <c r="DF97" s="481"/>
      <c r="DG97" s="481"/>
      <c r="DH97" s="481"/>
      <c r="DI97" s="481"/>
      <c r="DJ97" s="481"/>
      <c r="DK97" s="481"/>
      <c r="DL97" s="481"/>
      <c r="DM97" s="481"/>
      <c r="DN97" s="481"/>
      <c r="DO97" s="481"/>
      <c r="DP97" s="481"/>
    </row>
    <row r="98" spans="1:120" ht="16.5" thickBot="1" x14ac:dyDescent="0.3">
      <c r="A98" s="855" t="s">
        <v>250</v>
      </c>
      <c r="B98" s="856"/>
      <c r="C98" s="857"/>
      <c r="D98" s="857"/>
      <c r="E98" s="857"/>
      <c r="F98" s="857"/>
      <c r="G98" s="857"/>
      <c r="H98" s="857"/>
      <c r="I98" s="857"/>
      <c r="J98" s="858"/>
      <c r="K98" s="196">
        <f>SUM(K94:K97)</f>
        <v>427</v>
      </c>
      <c r="L98" s="313">
        <f>SUM(L94:L97)</f>
        <v>570</v>
      </c>
      <c r="M98" s="311">
        <f>IFERROR(L98/K98,0)</f>
        <v>1.3348946135831381</v>
      </c>
      <c r="N98" s="481"/>
      <c r="O98" s="481"/>
      <c r="P98" s="481"/>
      <c r="Q98" s="481"/>
      <c r="R98" s="481"/>
      <c r="S98" s="481"/>
      <c r="T98" s="481"/>
      <c r="U98" s="481"/>
      <c r="V98" s="481"/>
      <c r="W98" s="481"/>
      <c r="X98" s="481"/>
      <c r="Y98" s="481"/>
      <c r="Z98" s="481"/>
      <c r="AA98" s="481"/>
      <c r="AN98" s="506"/>
      <c r="AO98" s="506"/>
      <c r="AP98" s="506"/>
      <c r="AQ98" s="506"/>
      <c r="AR98" s="506"/>
      <c r="AS98" s="480"/>
      <c r="AT98" s="480"/>
      <c r="AU98" s="480"/>
      <c r="AV98" s="480"/>
      <c r="AW98" s="480"/>
      <c r="AX98" s="480"/>
      <c r="AY98" s="480"/>
      <c r="AZ98" s="480"/>
      <c r="BA98" s="480"/>
      <c r="BB98" s="480"/>
      <c r="BC98" s="480"/>
      <c r="BD98" s="480"/>
      <c r="BE98" s="480"/>
      <c r="BF98" s="480"/>
      <c r="CX98" s="481"/>
      <c r="CY98" s="481"/>
      <c r="CZ98" s="481"/>
      <c r="DA98" s="481"/>
      <c r="DB98" s="481"/>
      <c r="DC98" s="481"/>
      <c r="DD98" s="481"/>
      <c r="DE98" s="481"/>
      <c r="DF98" s="481"/>
      <c r="DG98" s="481"/>
      <c r="DH98" s="481"/>
      <c r="DI98" s="481"/>
      <c r="DJ98" s="481"/>
      <c r="DK98" s="481"/>
      <c r="DL98" s="481"/>
      <c r="DM98" s="481"/>
      <c r="DN98" s="481"/>
      <c r="DO98" s="481"/>
      <c r="DP98" s="481"/>
    </row>
    <row r="99" spans="1:120" x14ac:dyDescent="0.25">
      <c r="E99" s="116"/>
      <c r="AZ99" s="480"/>
      <c r="BA99" s="480"/>
      <c r="BB99" s="480"/>
      <c r="BC99" s="480"/>
      <c r="BD99" s="480"/>
      <c r="BE99" s="480"/>
      <c r="BF99" s="480"/>
      <c r="DJ99" s="481"/>
      <c r="DK99" s="481"/>
      <c r="DL99" s="481"/>
      <c r="DM99" s="481"/>
      <c r="DN99" s="481"/>
      <c r="DO99" s="481"/>
      <c r="DP99" s="481"/>
    </row>
    <row r="100" spans="1:120" x14ac:dyDescent="0.25">
      <c r="E100" s="116"/>
      <c r="AZ100" s="480"/>
      <c r="BA100" s="480"/>
      <c r="BB100" s="480"/>
      <c r="BC100" s="480"/>
      <c r="BD100" s="480"/>
      <c r="BE100" s="480"/>
      <c r="BF100" s="480"/>
      <c r="DJ100" s="481"/>
      <c r="DK100" s="481"/>
      <c r="DL100" s="481"/>
      <c r="DM100" s="481"/>
      <c r="DN100" s="481"/>
      <c r="DO100" s="481"/>
      <c r="DP100" s="481"/>
    </row>
    <row r="101" spans="1:120" ht="15.75" thickBot="1" x14ac:dyDescent="0.3">
      <c r="C101" s="116"/>
      <c r="E101" s="116"/>
      <c r="BF101" s="480"/>
      <c r="DP101" s="481"/>
    </row>
    <row r="102" spans="1:120" ht="16.5" customHeight="1" thickBot="1" x14ac:dyDescent="0.3">
      <c r="A102" s="792" t="s">
        <v>251</v>
      </c>
      <c r="B102" s="793"/>
      <c r="C102" s="793"/>
      <c r="D102" s="793"/>
      <c r="E102" s="793"/>
      <c r="F102" s="793"/>
      <c r="G102" s="793"/>
      <c r="H102" s="793"/>
      <c r="I102" s="793"/>
      <c r="J102" s="793"/>
      <c r="K102" s="793"/>
      <c r="L102" s="793"/>
      <c r="M102" s="799"/>
    </row>
    <row r="103" spans="1:120" ht="105.75" customHeight="1" thickBot="1" x14ac:dyDescent="0.3">
      <c r="A103" s="859" t="s">
        <v>82</v>
      </c>
      <c r="B103" s="860"/>
      <c r="C103" s="328"/>
      <c r="D103" s="328"/>
      <c r="E103" s="328"/>
      <c r="F103" s="118" t="s">
        <v>252</v>
      </c>
      <c r="G103" s="118" t="s">
        <v>253</v>
      </c>
      <c r="H103" s="118" t="s">
        <v>254</v>
      </c>
      <c r="I103" s="118" t="s">
        <v>255</v>
      </c>
      <c r="J103" s="119" t="s">
        <v>249</v>
      </c>
      <c r="K103" s="119" t="s">
        <v>44</v>
      </c>
      <c r="L103" s="119" t="s">
        <v>60</v>
      </c>
      <c r="M103" s="119" t="s">
        <v>181</v>
      </c>
    </row>
    <row r="104" spans="1:120" ht="15.75" customHeight="1" thickBot="1" x14ac:dyDescent="0.3">
      <c r="A104" s="843" t="s">
        <v>76</v>
      </c>
      <c r="B104" s="847" t="s">
        <v>158</v>
      </c>
      <c r="C104" s="830" t="s">
        <v>44</v>
      </c>
      <c r="D104" s="831"/>
      <c r="E104" s="832"/>
      <c r="F104" s="503">
        <f>'2021-22 ERC'!F98</f>
        <v>0</v>
      </c>
      <c r="G104" s="503">
        <f>'2021-22 ERC'!G98</f>
        <v>1176</v>
      </c>
      <c r="H104" s="503">
        <f>'2021-22 ERC'!H98</f>
        <v>0</v>
      </c>
      <c r="I104" s="503">
        <f>'2021-22 ERC'!I98</f>
        <v>0</v>
      </c>
      <c r="J104" s="503">
        <f>'2021-22 ERC'!J98</f>
        <v>0</v>
      </c>
      <c r="K104" s="833">
        <f>SUM(F104:J104)</f>
        <v>1176</v>
      </c>
      <c r="L104" s="835">
        <f>SUM(F105:J105)</f>
        <v>1410</v>
      </c>
      <c r="M104" s="837">
        <f>IFERROR(L104/K104,0)</f>
        <v>1.1989795918367347</v>
      </c>
    </row>
    <row r="105" spans="1:120" ht="15.75" customHeight="1" thickBot="1" x14ac:dyDescent="0.3">
      <c r="A105" s="844"/>
      <c r="B105" s="848"/>
      <c r="C105" s="839" t="s">
        <v>60</v>
      </c>
      <c r="D105" s="840"/>
      <c r="E105" s="841"/>
      <c r="F105" s="216"/>
      <c r="G105" s="216">
        <v>1410</v>
      </c>
      <c r="H105" s="216"/>
      <c r="I105" s="217"/>
      <c r="J105" s="217"/>
      <c r="K105" s="834"/>
      <c r="L105" s="836"/>
      <c r="M105" s="838"/>
    </row>
    <row r="106" spans="1:120" ht="15.75" customHeight="1" thickBot="1" x14ac:dyDescent="0.3">
      <c r="A106" s="845"/>
      <c r="B106" s="828" t="s">
        <v>156</v>
      </c>
      <c r="C106" s="830" t="s">
        <v>44</v>
      </c>
      <c r="D106" s="831"/>
      <c r="E106" s="832"/>
      <c r="F106" s="503">
        <f>'2021-22 ERC'!F100</f>
        <v>0</v>
      </c>
      <c r="G106" s="503">
        <f>'2021-22 ERC'!G100</f>
        <v>381</v>
      </c>
      <c r="H106" s="503">
        <f>'2021-22 ERC'!H100</f>
        <v>0</v>
      </c>
      <c r="I106" s="503">
        <f>'2021-22 ERC'!I100</f>
        <v>0</v>
      </c>
      <c r="J106" s="503">
        <f>'2021-22 ERC'!J100</f>
        <v>0</v>
      </c>
      <c r="K106" s="833">
        <f>SUM(F106:J106)</f>
        <v>381</v>
      </c>
      <c r="L106" s="835">
        <f>SUM(F107:J107)</f>
        <v>392</v>
      </c>
      <c r="M106" s="837">
        <f>IFERROR(L106/K106,0)</f>
        <v>1.0288713910761156</v>
      </c>
    </row>
    <row r="107" spans="1:120" ht="15.75" customHeight="1" thickBot="1" x14ac:dyDescent="0.3">
      <c r="A107" s="846"/>
      <c r="B107" s="829"/>
      <c r="C107" s="839" t="s">
        <v>60</v>
      </c>
      <c r="D107" s="840"/>
      <c r="E107" s="841"/>
      <c r="F107" s="216"/>
      <c r="G107" s="216">
        <v>392</v>
      </c>
      <c r="H107" s="216"/>
      <c r="I107" s="217"/>
      <c r="J107" s="217"/>
      <c r="K107" s="834"/>
      <c r="L107" s="836"/>
      <c r="M107" s="838"/>
    </row>
    <row r="108" spans="1:120" ht="16.5" thickBot="1" x14ac:dyDescent="0.3">
      <c r="A108" s="851" t="s">
        <v>256</v>
      </c>
      <c r="B108" s="852"/>
      <c r="C108" s="853"/>
      <c r="D108" s="853"/>
      <c r="E108" s="853"/>
      <c r="F108" s="853"/>
      <c r="G108" s="853"/>
      <c r="H108" s="853"/>
      <c r="I108" s="853"/>
      <c r="J108" s="854"/>
      <c r="K108" s="196">
        <f>SUM(K104:K107)</f>
        <v>1557</v>
      </c>
      <c r="L108" s="313">
        <f>SUM(L104:L107)</f>
        <v>1802</v>
      </c>
      <c r="M108" s="311">
        <f>IFERROR(L108/K108,0)</f>
        <v>1.1573538856775851</v>
      </c>
    </row>
  </sheetData>
  <sheetProtection algorithmName="SHA-512" hashValue="geg//ujRG2mWz35OxMdalulFqa8E75rxEUlLZm862WMAwxQEjSpq410FqbokiPwxXx23UJkjsZfPWaBHkQW3/A==" saltValue="aGG10LfdsV0WaLOzbHRwtQ==" spinCount="100000" sheet="1" objects="1" scenarios="1" formatCells="0" formatColumns="0" formatRows="0" selectLockedCells="1"/>
  <mergeCells count="205">
    <mergeCell ref="A108:J108"/>
    <mergeCell ref="B106:B107"/>
    <mergeCell ref="C106:E106"/>
    <mergeCell ref="K106:K107"/>
    <mergeCell ref="L106:L107"/>
    <mergeCell ref="M106:M107"/>
    <mergeCell ref="C107:E107"/>
    <mergeCell ref="A98:J98"/>
    <mergeCell ref="A102:M102"/>
    <mergeCell ref="A103:B103"/>
    <mergeCell ref="A104:A107"/>
    <mergeCell ref="B104:B105"/>
    <mergeCell ref="C104:E104"/>
    <mergeCell ref="K104:K105"/>
    <mergeCell ref="L104:L105"/>
    <mergeCell ref="M104:M105"/>
    <mergeCell ref="C105:E105"/>
    <mergeCell ref="B96:B97"/>
    <mergeCell ref="C96:E96"/>
    <mergeCell ref="K96:K97"/>
    <mergeCell ref="L96:L97"/>
    <mergeCell ref="M96:M97"/>
    <mergeCell ref="C97:E97"/>
    <mergeCell ref="AP86:AR86"/>
    <mergeCell ref="A92:M92"/>
    <mergeCell ref="A93:B93"/>
    <mergeCell ref="A94:A97"/>
    <mergeCell ref="B94:B95"/>
    <mergeCell ref="C94:E94"/>
    <mergeCell ref="K94:K95"/>
    <mergeCell ref="L94:L95"/>
    <mergeCell ref="M94:M95"/>
    <mergeCell ref="C95:E95"/>
    <mergeCell ref="X86:Z86"/>
    <mergeCell ref="AA86:AC86"/>
    <mergeCell ref="AD86:AF86"/>
    <mergeCell ref="AG86:AI86"/>
    <mergeCell ref="AJ86:AL86"/>
    <mergeCell ref="AM86:AO86"/>
    <mergeCell ref="A85:A86"/>
    <mergeCell ref="L85:N85"/>
    <mergeCell ref="AJ85:AL85"/>
    <mergeCell ref="AM85:AO85"/>
    <mergeCell ref="AP85:AR85"/>
    <mergeCell ref="B86:E86"/>
    <mergeCell ref="F86:H86"/>
    <mergeCell ref="I86:K86"/>
    <mergeCell ref="L86:N86"/>
    <mergeCell ref="O86:Q86"/>
    <mergeCell ref="R86:T86"/>
    <mergeCell ref="U86:W86"/>
    <mergeCell ref="R85:T85"/>
    <mergeCell ref="U85:W85"/>
    <mergeCell ref="X85:Z85"/>
    <mergeCell ref="AA85:AC85"/>
    <mergeCell ref="AD85:AF85"/>
    <mergeCell ref="AG85:AI85"/>
    <mergeCell ref="B85:E85"/>
    <mergeCell ref="F85:H85"/>
    <mergeCell ref="I85:K85"/>
    <mergeCell ref="O85:Q85"/>
    <mergeCell ref="BG76:BG83"/>
    <mergeCell ref="A77:A78"/>
    <mergeCell ref="B77:E77"/>
    <mergeCell ref="AS77:AS78"/>
    <mergeCell ref="AT77:AT78"/>
    <mergeCell ref="AU77:AU78"/>
    <mergeCell ref="AV77:AV78"/>
    <mergeCell ref="AW77:AW78"/>
    <mergeCell ref="AX77:AX78"/>
    <mergeCell ref="AY77:AY78"/>
    <mergeCell ref="BB79:BB80"/>
    <mergeCell ref="BC79:BC80"/>
    <mergeCell ref="BD79:BD80"/>
    <mergeCell ref="BD77:BD78"/>
    <mergeCell ref="B78:E78"/>
    <mergeCell ref="A79:A80"/>
    <mergeCell ref="B79:E79"/>
    <mergeCell ref="AS79:AS80"/>
    <mergeCell ref="AT79:AT80"/>
    <mergeCell ref="AU79:AU80"/>
    <mergeCell ref="AV79:AV80"/>
    <mergeCell ref="AX79:AX80"/>
    <mergeCell ref="BE76:BE83"/>
    <mergeCell ref="BF76:BF83"/>
    <mergeCell ref="BD81:BD82"/>
    <mergeCell ref="AX81:AX82"/>
    <mergeCell ref="AY81:AY82"/>
    <mergeCell ref="AZ81:AZ82"/>
    <mergeCell ref="BA81:BA82"/>
    <mergeCell ref="AV81:AV82"/>
    <mergeCell ref="AW81:AW82"/>
    <mergeCell ref="U75:W75"/>
    <mergeCell ref="X75:Z75"/>
    <mergeCell ref="AA75:AC75"/>
    <mergeCell ref="AD75:AF75"/>
    <mergeCell ref="AG75:AI75"/>
    <mergeCell ref="AZ77:AZ78"/>
    <mergeCell ref="BA77:BA78"/>
    <mergeCell ref="BB77:BB78"/>
    <mergeCell ref="BC77:BC78"/>
    <mergeCell ref="AT81:AT82"/>
    <mergeCell ref="AU81:AU82"/>
    <mergeCell ref="AY79:AY80"/>
    <mergeCell ref="AZ79:AZ80"/>
    <mergeCell ref="BA79:BA80"/>
    <mergeCell ref="BB81:BB82"/>
    <mergeCell ref="BC81:BC82"/>
    <mergeCell ref="A81:A82"/>
    <mergeCell ref="B81:E81"/>
    <mergeCell ref="AS81:AS82"/>
    <mergeCell ref="AW79:AW80"/>
    <mergeCell ref="B80:E80"/>
    <mergeCell ref="A76:E76"/>
    <mergeCell ref="B82:E82"/>
    <mergeCell ref="A60:B60"/>
    <mergeCell ref="A61:A67"/>
    <mergeCell ref="A68:B68"/>
    <mergeCell ref="A70:B70"/>
    <mergeCell ref="A73:BG73"/>
    <mergeCell ref="A74:E74"/>
    <mergeCell ref="F74:N74"/>
    <mergeCell ref="O74:W74"/>
    <mergeCell ref="X74:AF74"/>
    <mergeCell ref="AG74:AI74"/>
    <mergeCell ref="AJ74:AR74"/>
    <mergeCell ref="AS74:AV75"/>
    <mergeCell ref="AW74:AZ75"/>
    <mergeCell ref="BA74:BD75"/>
    <mergeCell ref="BE74:BG74"/>
    <mergeCell ref="A75:E75"/>
    <mergeCell ref="F75:H75"/>
    <mergeCell ref="I75:K75"/>
    <mergeCell ref="L75:N75"/>
    <mergeCell ref="O75:Q75"/>
    <mergeCell ref="AJ75:AL75"/>
    <mergeCell ref="AM75:AO75"/>
    <mergeCell ref="AP75:AR75"/>
    <mergeCell ref="R75:T75"/>
    <mergeCell ref="A46:B46"/>
    <mergeCell ref="A47:A48"/>
    <mergeCell ref="A49:A53"/>
    <mergeCell ref="A54:B54"/>
    <mergeCell ref="A55:A58"/>
    <mergeCell ref="A59:B59"/>
    <mergeCell ref="R43:S43"/>
    <mergeCell ref="T43:U43"/>
    <mergeCell ref="V43:W43"/>
    <mergeCell ref="X43:Y43"/>
    <mergeCell ref="Z43:AA43"/>
    <mergeCell ref="A45:B45"/>
    <mergeCell ref="T42:U42"/>
    <mergeCell ref="V42:W42"/>
    <mergeCell ref="X42:Y42"/>
    <mergeCell ref="Z42:AA42"/>
    <mergeCell ref="C43:E43"/>
    <mergeCell ref="F43:H43"/>
    <mergeCell ref="I43:K43"/>
    <mergeCell ref="L43:M43"/>
    <mergeCell ref="N43:O43"/>
    <mergeCell ref="P43:Q43"/>
    <mergeCell ref="F42:H42"/>
    <mergeCell ref="I42:K42"/>
    <mergeCell ref="L42:M42"/>
    <mergeCell ref="N42:O42"/>
    <mergeCell ref="P42:Q42"/>
    <mergeCell ref="R42:S42"/>
    <mergeCell ref="A28:B28"/>
    <mergeCell ref="A29:A35"/>
    <mergeCell ref="A36:B36"/>
    <mergeCell ref="A38:B38"/>
    <mergeCell ref="A42:B44"/>
    <mergeCell ref="C42:E42"/>
    <mergeCell ref="A14:B14"/>
    <mergeCell ref="A15:A16"/>
    <mergeCell ref="A17:A21"/>
    <mergeCell ref="A22:B22"/>
    <mergeCell ref="A23:A26"/>
    <mergeCell ref="A27:B27"/>
    <mergeCell ref="A13:B13"/>
    <mergeCell ref="T10:U10"/>
    <mergeCell ref="V10:W10"/>
    <mergeCell ref="X10:Y10"/>
    <mergeCell ref="Z10:AA10"/>
    <mergeCell ref="C11:E11"/>
    <mergeCell ref="F11:H11"/>
    <mergeCell ref="I11:K11"/>
    <mergeCell ref="L11:M11"/>
    <mergeCell ref="N11:O11"/>
    <mergeCell ref="P11:Q11"/>
    <mergeCell ref="T11:U11"/>
    <mergeCell ref="V11:W11"/>
    <mergeCell ref="X11:Y11"/>
    <mergeCell ref="A1:AC1"/>
    <mergeCell ref="A2:C8"/>
    <mergeCell ref="A10:B12"/>
    <mergeCell ref="C10:E10"/>
    <mergeCell ref="F10:H10"/>
    <mergeCell ref="I10:K10"/>
    <mergeCell ref="L10:M10"/>
    <mergeCell ref="N10:O10"/>
    <mergeCell ref="P10:Q10"/>
    <mergeCell ref="R10:S10"/>
    <mergeCell ref="R11:S11"/>
    <mergeCell ref="Z11:AA11"/>
  </mergeCells>
  <printOptions horizontalCentered="1" verticalCentered="1"/>
  <pageMargins left="0.23622047244094491" right="0.23622047244094491" top="0.74803149606299213" bottom="0.74803149606299213" header="0.31496062992125984" footer="0.31496062992125984"/>
  <pageSetup paperSize="8" fitToHeight="0" orientation="landscape" r:id="rId1"/>
  <colBreaks count="1" manualBreakCount="1">
    <brk id="2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P77"/>
  <sheetViews>
    <sheetView topLeftCell="A14" zoomScale="70" zoomScaleNormal="70" workbookViewId="0">
      <selection activeCell="F71" sqref="F71"/>
    </sheetView>
  </sheetViews>
  <sheetFormatPr defaultColWidth="9.140625" defaultRowHeight="15" outlineLevelCol="1" x14ac:dyDescent="0.25"/>
  <cols>
    <col min="1" max="1" width="25.42578125" style="164" customWidth="1"/>
    <col min="2" max="2" width="36.7109375" style="481" customWidth="1"/>
    <col min="3" max="5" width="9.140625" style="481"/>
    <col min="6" max="8" width="9.140625" style="116"/>
    <col min="9" max="9" width="20.5703125" style="116" customWidth="1"/>
    <col min="10" max="13" width="9.140625" style="116"/>
    <col min="14" max="58" width="9.140625" style="116" outlineLevel="1"/>
    <col min="59" max="59" width="9.140625" style="480" outlineLevel="1"/>
    <col min="60" max="120" width="9.140625" style="480"/>
    <col min="121" max="16384" width="9.140625" style="481"/>
  </cols>
  <sheetData>
    <row r="1" spans="1:120" x14ac:dyDescent="0.25">
      <c r="A1" s="702" t="s">
        <v>257</v>
      </c>
      <c r="B1" s="888"/>
      <c r="C1" s="888"/>
      <c r="D1" s="888"/>
      <c r="E1" s="888"/>
      <c r="F1" s="888"/>
      <c r="G1" s="888"/>
      <c r="H1" s="888"/>
      <c r="I1" s="888"/>
      <c r="J1" s="888"/>
      <c r="K1" s="888"/>
      <c r="L1" s="888"/>
      <c r="M1" s="888"/>
      <c r="N1" s="888"/>
      <c r="O1" s="888"/>
      <c r="P1" s="888"/>
      <c r="Q1" s="888"/>
      <c r="R1" s="888"/>
      <c r="S1" s="888"/>
      <c r="T1" s="888"/>
      <c r="U1" s="888"/>
      <c r="V1" s="888"/>
      <c r="W1" s="889"/>
      <c r="X1"/>
      <c r="Y1"/>
      <c r="Z1"/>
      <c r="AA1"/>
      <c r="AB1"/>
      <c r="AC1"/>
      <c r="AD1"/>
      <c r="AE1"/>
      <c r="AF1"/>
      <c r="AG1"/>
      <c r="AX1" s="480"/>
      <c r="AY1" s="480"/>
      <c r="AZ1" s="480"/>
      <c r="BA1" s="480"/>
      <c r="BB1" s="480"/>
      <c r="BC1" s="480"/>
      <c r="BD1" s="480"/>
      <c r="BE1" s="480"/>
      <c r="BF1" s="480"/>
      <c r="DH1" s="481"/>
      <c r="DI1" s="481"/>
      <c r="DJ1" s="481"/>
      <c r="DK1" s="481"/>
      <c r="DL1" s="481"/>
      <c r="DM1" s="481"/>
      <c r="DN1" s="481"/>
      <c r="DO1" s="481"/>
      <c r="DP1" s="481"/>
    </row>
    <row r="2" spans="1:120" x14ac:dyDescent="0.25">
      <c r="A2" s="704" t="s">
        <v>177</v>
      </c>
      <c r="B2" s="704"/>
      <c r="C2" s="322"/>
      <c r="D2" s="514"/>
      <c r="E2" s="514"/>
      <c r="BC2" s="480"/>
      <c r="BD2" s="480"/>
      <c r="BE2" s="480"/>
      <c r="BF2" s="480"/>
      <c r="DM2" s="481"/>
      <c r="DN2" s="481"/>
      <c r="DO2" s="481"/>
      <c r="DP2" s="481"/>
    </row>
    <row r="3" spans="1:120" x14ac:dyDescent="0.25">
      <c r="A3" s="704"/>
      <c r="B3" s="704"/>
      <c r="C3" s="322"/>
      <c r="D3" s="514"/>
      <c r="E3" s="514"/>
      <c r="BC3" s="480"/>
      <c r="BD3" s="480"/>
      <c r="BE3" s="480"/>
      <c r="BF3" s="480"/>
      <c r="DM3" s="481"/>
      <c r="DN3" s="481"/>
      <c r="DO3" s="481"/>
      <c r="DP3" s="481"/>
    </row>
    <row r="4" spans="1:120" x14ac:dyDescent="0.25">
      <c r="A4" s="704"/>
      <c r="B4" s="704"/>
      <c r="C4" s="322"/>
      <c r="D4" s="514"/>
      <c r="E4" s="514"/>
      <c r="BC4" s="480"/>
      <c r="BD4" s="480"/>
      <c r="BE4" s="480"/>
      <c r="BF4" s="480"/>
      <c r="DM4" s="481"/>
      <c r="DN4" s="481"/>
      <c r="DO4" s="481"/>
      <c r="DP4" s="481"/>
    </row>
    <row r="5" spans="1:120" x14ac:dyDescent="0.25">
      <c r="A5" s="704"/>
      <c r="B5" s="704"/>
      <c r="C5" s="322"/>
      <c r="D5" s="514"/>
      <c r="E5" s="514"/>
      <c r="BC5" s="480"/>
      <c r="BD5" s="480"/>
      <c r="BE5" s="480"/>
      <c r="BF5" s="480"/>
      <c r="DM5" s="481"/>
      <c r="DN5" s="481"/>
      <c r="DO5" s="481"/>
      <c r="DP5" s="481"/>
    </row>
    <row r="6" spans="1:120" x14ac:dyDescent="0.25">
      <c r="A6" s="704"/>
      <c r="B6" s="704"/>
      <c r="C6" s="322"/>
      <c r="D6" s="514"/>
      <c r="E6" s="514"/>
      <c r="BC6" s="480"/>
      <c r="BD6" s="480"/>
      <c r="BE6" s="480"/>
      <c r="BF6" s="480"/>
      <c r="DM6" s="481"/>
      <c r="DN6" s="481"/>
      <c r="DO6" s="481"/>
      <c r="DP6" s="481"/>
    </row>
    <row r="7" spans="1:120" x14ac:dyDescent="0.25">
      <c r="A7" s="704"/>
      <c r="B7" s="704"/>
      <c r="C7" s="322"/>
      <c r="D7" s="514"/>
      <c r="E7" s="514"/>
      <c r="BC7" s="480"/>
      <c r="BD7" s="480"/>
      <c r="BE7" s="480"/>
      <c r="BF7" s="480"/>
      <c r="DM7" s="481"/>
      <c r="DN7" s="481"/>
      <c r="DO7" s="481"/>
      <c r="DP7" s="481"/>
    </row>
    <row r="8" spans="1:120" x14ac:dyDescent="0.25">
      <c r="A8" s="704"/>
      <c r="B8" s="704"/>
      <c r="C8" s="322"/>
      <c r="D8" s="514"/>
      <c r="E8" s="514"/>
      <c r="BC8" s="480"/>
      <c r="BD8" s="480"/>
      <c r="BE8" s="480"/>
      <c r="BF8" s="480"/>
      <c r="DM8" s="481"/>
      <c r="DN8" s="481"/>
      <c r="DO8" s="481"/>
      <c r="DP8" s="481"/>
    </row>
    <row r="9" spans="1:120" ht="15.75" thickBot="1" x14ac:dyDescent="0.3">
      <c r="A9" s="513"/>
      <c r="B9" s="512"/>
      <c r="C9" s="512"/>
      <c r="BE9" s="480"/>
      <c r="BF9" s="480"/>
      <c r="DO9" s="481"/>
      <c r="DP9" s="481"/>
    </row>
    <row r="10" spans="1:120" s="488" customFormat="1" ht="61.5" customHeight="1" x14ac:dyDescent="0.25">
      <c r="A10" s="876" t="s">
        <v>258</v>
      </c>
      <c r="B10" s="877"/>
      <c r="C10" s="711" t="s">
        <v>259</v>
      </c>
      <c r="D10" s="712"/>
      <c r="E10" s="713"/>
      <c r="F10" s="711" t="s">
        <v>260</v>
      </c>
      <c r="G10" s="712"/>
      <c r="H10" s="712"/>
      <c r="I10" s="885" t="s">
        <v>261</v>
      </c>
      <c r="J10" s="714" t="s">
        <v>182</v>
      </c>
      <c r="K10" s="715"/>
      <c r="L10" s="716" t="s">
        <v>183</v>
      </c>
      <c r="M10" s="717"/>
      <c r="N10" s="718" t="s">
        <v>184</v>
      </c>
      <c r="O10" s="715"/>
      <c r="P10" s="718" t="s">
        <v>185</v>
      </c>
      <c r="Q10" s="715"/>
      <c r="R10" s="725" t="s">
        <v>186</v>
      </c>
      <c r="S10" s="726"/>
      <c r="T10" s="725" t="s">
        <v>187</v>
      </c>
      <c r="U10" s="726"/>
      <c r="V10" s="725" t="s">
        <v>188</v>
      </c>
      <c r="W10" s="716"/>
      <c r="X10" s="725" t="s">
        <v>189</v>
      </c>
      <c r="Y10" s="727"/>
      <c r="Z10" s="116"/>
      <c r="AA10" s="487"/>
      <c r="AB10" s="487"/>
      <c r="AC10" s="487"/>
      <c r="AD10" s="487"/>
      <c r="AE10" s="487"/>
      <c r="AF10" s="487"/>
      <c r="AG10" s="487"/>
      <c r="AH10" s="487"/>
      <c r="AI10" s="487"/>
      <c r="AJ10" s="487"/>
      <c r="AK10" s="487"/>
      <c r="AL10" s="487"/>
      <c r="AM10" s="487"/>
      <c r="AN10" s="487"/>
      <c r="AO10" s="487"/>
      <c r="AP10" s="487"/>
      <c r="AQ10" s="487"/>
      <c r="AR10" s="487"/>
      <c r="AS10" s="487"/>
      <c r="AT10" s="487"/>
      <c r="AU10" s="487"/>
      <c r="AV10" s="487"/>
      <c r="AW10" s="487"/>
      <c r="AX10" s="487"/>
      <c r="AY10" s="487"/>
      <c r="AZ10" s="487"/>
      <c r="BA10" s="487"/>
      <c r="BB10" s="487"/>
      <c r="BC10" s="487"/>
      <c r="BD10" s="487"/>
      <c r="BE10" s="487"/>
      <c r="BF10" s="487"/>
      <c r="BG10" s="487"/>
      <c r="BH10" s="487"/>
      <c r="BI10" s="487"/>
      <c r="BJ10" s="487"/>
      <c r="BK10" s="487"/>
      <c r="BL10" s="487"/>
      <c r="BM10" s="487"/>
      <c r="BN10" s="487"/>
      <c r="BO10" s="487"/>
      <c r="BP10" s="487"/>
      <c r="BQ10" s="487"/>
      <c r="BR10" s="487"/>
      <c r="BS10" s="487"/>
      <c r="BT10" s="487"/>
      <c r="BU10" s="487"/>
      <c r="BV10" s="487"/>
    </row>
    <row r="11" spans="1:120" s="488" customFormat="1" ht="15.75" customHeight="1" x14ac:dyDescent="0.25">
      <c r="A11" s="878"/>
      <c r="B11" s="879"/>
      <c r="C11" s="719" t="s">
        <v>192</v>
      </c>
      <c r="D11" s="728"/>
      <c r="E11" s="729"/>
      <c r="F11" s="719" t="s">
        <v>192</v>
      </c>
      <c r="G11" s="728"/>
      <c r="H11" s="730"/>
      <c r="I11" s="886"/>
      <c r="J11" s="728" t="s">
        <v>192</v>
      </c>
      <c r="K11" s="720"/>
      <c r="L11" s="719" t="s">
        <v>192</v>
      </c>
      <c r="M11" s="720"/>
      <c r="N11" s="719" t="s">
        <v>192</v>
      </c>
      <c r="O11" s="720"/>
      <c r="P11" s="719" t="s">
        <v>192</v>
      </c>
      <c r="Q11" s="720"/>
      <c r="R11" s="721" t="s">
        <v>192</v>
      </c>
      <c r="S11" s="733"/>
      <c r="T11" s="721" t="s">
        <v>192</v>
      </c>
      <c r="U11" s="733"/>
      <c r="V11" s="721" t="s">
        <v>192</v>
      </c>
      <c r="W11" s="734"/>
      <c r="X11" s="721" t="s">
        <v>192</v>
      </c>
      <c r="Y11" s="722"/>
      <c r="Z11" s="116"/>
      <c r="AA11" s="487"/>
      <c r="AB11" s="487"/>
      <c r="AC11" s="487"/>
      <c r="AD11" s="487"/>
      <c r="AE11" s="487"/>
      <c r="AF11" s="487"/>
      <c r="AG11" s="487"/>
      <c r="AH11" s="487"/>
      <c r="AI11" s="487"/>
      <c r="AJ11" s="487"/>
      <c r="AK11" s="487"/>
      <c r="AL11" s="487"/>
      <c r="AM11" s="487"/>
      <c r="AN11" s="487"/>
      <c r="AO11" s="487"/>
      <c r="AP11" s="487"/>
      <c r="AQ11" s="487"/>
      <c r="AR11" s="487"/>
      <c r="AS11" s="487"/>
      <c r="AT11" s="487"/>
      <c r="AU11" s="487"/>
      <c r="AV11" s="487"/>
      <c r="AW11" s="487"/>
      <c r="AX11" s="487"/>
      <c r="AY11" s="487"/>
      <c r="AZ11" s="487"/>
      <c r="BA11" s="487"/>
      <c r="BB11" s="487"/>
      <c r="BC11" s="487"/>
      <c r="BD11" s="487"/>
      <c r="BE11" s="487"/>
      <c r="BF11" s="487"/>
      <c r="BG11" s="487"/>
      <c r="BH11" s="487"/>
      <c r="BI11" s="487"/>
      <c r="BJ11" s="487"/>
      <c r="BK11" s="487"/>
      <c r="BL11" s="487"/>
      <c r="BM11" s="487"/>
      <c r="BN11" s="487"/>
      <c r="BO11" s="487"/>
      <c r="BP11" s="487"/>
      <c r="BQ11" s="487"/>
      <c r="BR11" s="487"/>
      <c r="BS11" s="487"/>
      <c r="BT11" s="487"/>
      <c r="BU11" s="487"/>
      <c r="BV11" s="487"/>
    </row>
    <row r="12" spans="1:120" s="488" customFormat="1" ht="15.75" thickBot="1" x14ac:dyDescent="0.3">
      <c r="A12" s="880"/>
      <c r="B12" s="881"/>
      <c r="C12" s="31" t="s">
        <v>158</v>
      </c>
      <c r="D12" s="179" t="s">
        <v>156</v>
      </c>
      <c r="E12" s="121" t="s">
        <v>193</v>
      </c>
      <c r="F12" s="31" t="s">
        <v>158</v>
      </c>
      <c r="G12" s="179" t="s">
        <v>156</v>
      </c>
      <c r="H12" s="121" t="s">
        <v>193</v>
      </c>
      <c r="I12" s="887"/>
      <c r="J12" s="218" t="s">
        <v>158</v>
      </c>
      <c r="K12" s="219" t="s">
        <v>156</v>
      </c>
      <c r="L12" s="31" t="s">
        <v>158</v>
      </c>
      <c r="M12" s="219" t="s">
        <v>156</v>
      </c>
      <c r="N12" s="31" t="s">
        <v>158</v>
      </c>
      <c r="O12" s="219" t="s">
        <v>156</v>
      </c>
      <c r="P12" s="31" t="s">
        <v>158</v>
      </c>
      <c r="Q12" s="219" t="s">
        <v>156</v>
      </c>
      <c r="R12" s="220" t="s">
        <v>158</v>
      </c>
      <c r="S12" s="221" t="s">
        <v>156</v>
      </c>
      <c r="T12" s="220" t="s">
        <v>158</v>
      </c>
      <c r="U12" s="222" t="s">
        <v>156</v>
      </c>
      <c r="V12" s="220" t="s">
        <v>158</v>
      </c>
      <c r="W12" s="223" t="s">
        <v>156</v>
      </c>
      <c r="X12" s="220" t="s">
        <v>158</v>
      </c>
      <c r="Y12" s="224" t="s">
        <v>156</v>
      </c>
      <c r="Z12" s="116"/>
      <c r="AA12" s="487"/>
      <c r="AB12" s="487"/>
      <c r="AC12" s="487"/>
      <c r="AD12" s="487"/>
      <c r="AE12" s="487"/>
      <c r="AF12" s="487"/>
      <c r="AG12" s="487"/>
      <c r="AH12" s="487"/>
      <c r="AI12" s="487"/>
      <c r="AJ12" s="487"/>
      <c r="AK12" s="487"/>
      <c r="AL12" s="487"/>
      <c r="AM12" s="487"/>
      <c r="AN12" s="487"/>
      <c r="AO12" s="487"/>
      <c r="AP12" s="487"/>
      <c r="AQ12" s="487"/>
      <c r="AR12" s="487"/>
      <c r="AS12" s="487"/>
      <c r="AT12" s="487"/>
      <c r="AU12" s="487"/>
      <c r="AV12" s="487"/>
      <c r="AW12" s="487"/>
      <c r="AX12" s="487"/>
      <c r="AY12" s="487"/>
      <c r="AZ12" s="487"/>
      <c r="BA12" s="487"/>
      <c r="BB12" s="487"/>
      <c r="BC12" s="487"/>
      <c r="BD12" s="487"/>
      <c r="BE12" s="487"/>
      <c r="BF12" s="487"/>
      <c r="BG12" s="487"/>
      <c r="BH12" s="487"/>
      <c r="BI12" s="487"/>
      <c r="BJ12" s="487"/>
      <c r="BK12" s="487"/>
      <c r="BL12" s="487"/>
      <c r="BM12" s="487"/>
      <c r="BN12" s="487"/>
      <c r="BO12" s="487"/>
      <c r="BP12" s="487"/>
      <c r="BQ12" s="487"/>
      <c r="BR12" s="487"/>
      <c r="BS12" s="487"/>
      <c r="BT12" s="487"/>
      <c r="BU12" s="487"/>
      <c r="BV12" s="487"/>
    </row>
    <row r="13" spans="1:120" s="488" customFormat="1" ht="58.5" customHeight="1" thickBot="1" x14ac:dyDescent="0.3">
      <c r="A13" s="723" t="s">
        <v>195</v>
      </c>
      <c r="B13" s="724"/>
      <c r="C13" s="515">
        <f>'2021-22 ERC'!F110</f>
        <v>2</v>
      </c>
      <c r="D13" s="515">
        <f>'2021-22 ERC'!G110</f>
        <v>0</v>
      </c>
      <c r="E13" s="182">
        <f>SUM(C13:D13)</f>
        <v>2</v>
      </c>
      <c r="F13" s="246">
        <f>J13+L13+N13+P13</f>
        <v>2</v>
      </c>
      <c r="G13" s="246">
        <f>K13+M13+O13+Q13</f>
        <v>0</v>
      </c>
      <c r="H13" s="246">
        <f>SUM(F13:G13)</f>
        <v>2</v>
      </c>
      <c r="I13" s="270">
        <f>IFERROR(H13/E13*100,0)</f>
        <v>100</v>
      </c>
      <c r="J13" s="32"/>
      <c r="K13" s="33"/>
      <c r="L13" s="34"/>
      <c r="M13" s="35"/>
      <c r="N13" s="36">
        <v>1</v>
      </c>
      <c r="O13" s="37"/>
      <c r="P13" s="34">
        <v>1</v>
      </c>
      <c r="Q13" s="35"/>
      <c r="R13" s="38"/>
      <c r="S13" s="39"/>
      <c r="T13" s="38"/>
      <c r="U13" s="39"/>
      <c r="V13" s="38"/>
      <c r="W13" s="40"/>
      <c r="X13" s="38"/>
      <c r="Y13" s="41"/>
      <c r="Z13" s="116"/>
      <c r="AA13" s="487"/>
      <c r="AB13" s="487"/>
      <c r="AC13" s="487"/>
      <c r="AD13" s="487"/>
      <c r="AE13" s="487"/>
      <c r="AF13" s="487"/>
      <c r="AG13" s="487"/>
      <c r="AH13" s="487"/>
      <c r="AI13" s="487"/>
      <c r="AJ13" s="487"/>
      <c r="AK13" s="487"/>
      <c r="AL13" s="487"/>
      <c r="AM13" s="487"/>
      <c r="AN13" s="487"/>
      <c r="AO13" s="487"/>
      <c r="AP13" s="487"/>
      <c r="AQ13" s="487"/>
      <c r="AR13" s="487"/>
      <c r="AS13" s="487"/>
      <c r="AT13" s="487"/>
      <c r="AU13" s="487"/>
      <c r="AV13" s="487"/>
      <c r="AW13" s="487"/>
      <c r="AX13" s="487"/>
      <c r="AY13" s="487"/>
      <c r="AZ13" s="487"/>
      <c r="BA13" s="487"/>
      <c r="BB13" s="487"/>
      <c r="BC13" s="487"/>
      <c r="BD13" s="487"/>
      <c r="BE13" s="487"/>
      <c r="BF13" s="487"/>
      <c r="BG13" s="487"/>
      <c r="BH13" s="487"/>
      <c r="BI13" s="487"/>
      <c r="BJ13" s="487"/>
      <c r="BK13" s="487"/>
      <c r="BL13" s="487"/>
      <c r="BM13" s="487"/>
      <c r="BN13" s="487"/>
      <c r="BO13" s="487"/>
      <c r="BP13" s="487"/>
      <c r="BQ13" s="487"/>
      <c r="BR13" s="487"/>
      <c r="BS13" s="487"/>
      <c r="BT13" s="487"/>
      <c r="BU13" s="487"/>
      <c r="BV13" s="487"/>
    </row>
    <row r="14" spans="1:120" s="488" customFormat="1" ht="62.25" customHeight="1" thickBot="1" x14ac:dyDescent="0.3">
      <c r="A14" s="748" t="s">
        <v>196</v>
      </c>
      <c r="B14" s="749"/>
      <c r="C14" s="515">
        <f>'2021-22 ERC'!F111</f>
        <v>0</v>
      </c>
      <c r="D14" s="515">
        <f>'2021-22 ERC'!G111</f>
        <v>0</v>
      </c>
      <c r="E14" s="182">
        <f>SUM(C14:D14)</f>
        <v>0</v>
      </c>
      <c r="F14" s="246">
        <f>R14+T14+V14+X14</f>
        <v>0</v>
      </c>
      <c r="G14" s="246">
        <f>S14+U14+W14+Y14</f>
        <v>0</v>
      </c>
      <c r="H14" s="271">
        <f t="shared" ref="H14" si="0">SUM(F14:G14)</f>
        <v>0</v>
      </c>
      <c r="I14" s="246">
        <f>IFERROR(H14/E14*100,0)</f>
        <v>0</v>
      </c>
      <c r="J14" s="42"/>
      <c r="K14" s="43"/>
      <c r="L14" s="44"/>
      <c r="M14" s="43"/>
      <c r="N14" s="44"/>
      <c r="O14" s="43"/>
      <c r="P14" s="44"/>
      <c r="Q14" s="43"/>
      <c r="R14" s="32"/>
      <c r="S14" s="45"/>
      <c r="T14" s="46"/>
      <c r="U14" s="46"/>
      <c r="V14" s="46"/>
      <c r="W14" s="46"/>
      <c r="X14" s="46"/>
      <c r="Y14" s="35"/>
      <c r="Z14" s="116"/>
      <c r="AA14" s="487"/>
      <c r="AB14" s="487"/>
      <c r="AC14" s="487"/>
      <c r="AD14" s="487"/>
      <c r="AE14" s="487"/>
      <c r="AF14" s="487"/>
      <c r="AG14" s="487"/>
      <c r="AH14" s="487"/>
      <c r="AI14" s="487"/>
      <c r="AJ14" s="487"/>
      <c r="AK14" s="487"/>
      <c r="AL14" s="487"/>
      <c r="AM14" s="487"/>
      <c r="AN14" s="487"/>
      <c r="AO14" s="487"/>
      <c r="AP14" s="487"/>
      <c r="AQ14" s="487"/>
      <c r="AR14" s="487"/>
      <c r="AS14" s="487"/>
      <c r="AT14" s="487"/>
      <c r="AU14" s="487"/>
      <c r="AV14" s="487"/>
      <c r="AW14" s="487"/>
      <c r="AX14" s="487"/>
      <c r="AY14" s="487"/>
      <c r="AZ14" s="487"/>
      <c r="BA14" s="487"/>
      <c r="BB14" s="487"/>
      <c r="BC14" s="487"/>
      <c r="BD14" s="487"/>
      <c r="BE14" s="487"/>
      <c r="BF14" s="487"/>
      <c r="BG14" s="487"/>
      <c r="BH14" s="487"/>
      <c r="BI14" s="487"/>
      <c r="BJ14" s="487"/>
      <c r="BK14" s="487"/>
      <c r="BL14" s="487"/>
      <c r="BM14" s="487"/>
      <c r="BN14" s="487"/>
      <c r="BO14" s="487"/>
      <c r="BP14" s="487"/>
      <c r="BQ14" s="487"/>
      <c r="BR14" s="487"/>
      <c r="BS14" s="487"/>
      <c r="BT14" s="487"/>
      <c r="BU14" s="487"/>
      <c r="BV14" s="487"/>
    </row>
    <row r="15" spans="1:120" s="488" customFormat="1" ht="15.75" thickBot="1" x14ac:dyDescent="0.3">
      <c r="A15" s="750" t="s">
        <v>197</v>
      </c>
      <c r="B15" s="59" t="s">
        <v>198</v>
      </c>
      <c r="C15" s="515">
        <f>'2021-22 ERC'!F112</f>
        <v>0</v>
      </c>
      <c r="D15" s="515">
        <f>'2021-22 ERC'!G112</f>
        <v>0</v>
      </c>
      <c r="E15" s="182">
        <f t="shared" ref="E15:E24" si="1">SUM(C15:D15)</f>
        <v>0</v>
      </c>
      <c r="F15" s="246">
        <f>J15+L15+N15+P15+R15+T15+V15+X15</f>
        <v>0</v>
      </c>
      <c r="G15" s="246">
        <f>K15+M15+O15+Q15+S15+U15+W15+Y15</f>
        <v>0</v>
      </c>
      <c r="H15" s="271">
        <f>SUM(F15:G15)</f>
        <v>0</v>
      </c>
      <c r="I15" s="270">
        <f t="shared" ref="I15:I28" si="2">IFERROR(H15/E15*100,0)</f>
        <v>0</v>
      </c>
      <c r="J15" s="32"/>
      <c r="K15" s="33"/>
      <c r="L15" s="34"/>
      <c r="M15" s="35"/>
      <c r="N15" s="36"/>
      <c r="O15" s="37"/>
      <c r="P15" s="34"/>
      <c r="Q15" s="35"/>
      <c r="R15" s="32"/>
      <c r="S15" s="45"/>
      <c r="T15" s="46"/>
      <c r="U15" s="46"/>
      <c r="V15" s="46"/>
      <c r="W15" s="46"/>
      <c r="X15" s="46"/>
      <c r="Y15" s="35"/>
      <c r="Z15" s="116"/>
      <c r="AA15" s="487"/>
      <c r="AB15" s="487"/>
      <c r="AC15" s="487"/>
      <c r="AD15" s="487"/>
      <c r="AE15" s="487"/>
      <c r="AF15" s="487"/>
      <c r="AG15" s="487"/>
      <c r="AH15" s="487"/>
      <c r="AI15" s="487"/>
      <c r="AJ15" s="487"/>
      <c r="AK15" s="487"/>
      <c r="AL15" s="487"/>
      <c r="AM15" s="487"/>
      <c r="AN15" s="487"/>
      <c r="AO15" s="487"/>
      <c r="AP15" s="487"/>
      <c r="AQ15" s="487"/>
      <c r="AR15" s="487"/>
      <c r="AS15" s="487"/>
      <c r="AT15" s="487"/>
      <c r="AU15" s="487"/>
      <c r="AV15" s="487"/>
      <c r="AW15" s="487"/>
      <c r="AX15" s="487"/>
      <c r="AY15" s="487"/>
      <c r="AZ15" s="487"/>
      <c r="BA15" s="487"/>
      <c r="BB15" s="487"/>
      <c r="BC15" s="487"/>
      <c r="BD15" s="487"/>
      <c r="BE15" s="487"/>
      <c r="BF15" s="487"/>
      <c r="BG15" s="487"/>
      <c r="BH15" s="487"/>
      <c r="BI15" s="487"/>
      <c r="BJ15" s="487"/>
      <c r="BK15" s="487"/>
      <c r="BL15" s="487"/>
      <c r="BM15" s="487"/>
      <c r="BN15" s="487"/>
      <c r="BO15" s="487"/>
      <c r="BP15" s="487"/>
      <c r="BQ15" s="487"/>
      <c r="BR15" s="487"/>
      <c r="BS15" s="487"/>
      <c r="BT15" s="487"/>
      <c r="BU15" s="487"/>
      <c r="BV15" s="487"/>
    </row>
    <row r="16" spans="1:120" s="488" customFormat="1" ht="15.75" thickBot="1" x14ac:dyDescent="0.3">
      <c r="A16" s="751"/>
      <c r="B16" s="60" t="s">
        <v>262</v>
      </c>
      <c r="C16" s="515">
        <f>'2021-22 ERC'!F113</f>
        <v>0</v>
      </c>
      <c r="D16" s="515">
        <f>'2021-22 ERC'!G113</f>
        <v>0</v>
      </c>
      <c r="E16" s="182">
        <f t="shared" ref="E16" si="3">SUM(C16:D16)</f>
        <v>0</v>
      </c>
      <c r="F16" s="246">
        <f>J16+L16+N16+P16+R16+T16+V16+X16</f>
        <v>0</v>
      </c>
      <c r="G16" s="246">
        <f>K16+M16+O16+Q16+S16+U16+W16+Y16</f>
        <v>0</v>
      </c>
      <c r="H16" s="271">
        <f>SUM(F16:G16)</f>
        <v>0</v>
      </c>
      <c r="I16" s="270">
        <f t="shared" si="2"/>
        <v>0</v>
      </c>
      <c r="J16" s="32"/>
      <c r="K16" s="33"/>
      <c r="L16" s="34"/>
      <c r="M16" s="35"/>
      <c r="N16" s="36"/>
      <c r="O16" s="37"/>
      <c r="P16" s="34"/>
      <c r="Q16" s="35"/>
      <c r="R16" s="32"/>
      <c r="S16" s="45"/>
      <c r="T16" s="46"/>
      <c r="U16" s="46"/>
      <c r="V16" s="46"/>
      <c r="W16" s="46"/>
      <c r="X16" s="46"/>
      <c r="Y16" s="35"/>
      <c r="Z16" s="116"/>
      <c r="AA16" s="487"/>
      <c r="AB16" s="487"/>
      <c r="AC16" s="487"/>
      <c r="AD16" s="487"/>
      <c r="AE16" s="487"/>
      <c r="AF16" s="487"/>
      <c r="AG16" s="487"/>
      <c r="AH16" s="487"/>
      <c r="AI16" s="487"/>
      <c r="AJ16" s="487"/>
      <c r="AK16" s="487"/>
      <c r="AL16" s="487"/>
      <c r="AM16" s="487"/>
      <c r="AN16" s="487"/>
      <c r="AO16" s="487"/>
      <c r="AP16" s="487"/>
      <c r="AQ16" s="487"/>
      <c r="AR16" s="487"/>
      <c r="AS16" s="487"/>
      <c r="AT16" s="487"/>
      <c r="AU16" s="487"/>
      <c r="AV16" s="487"/>
      <c r="AW16" s="487"/>
      <c r="AX16" s="487"/>
      <c r="AY16" s="487"/>
      <c r="AZ16" s="487"/>
      <c r="BA16" s="487"/>
      <c r="BB16" s="487"/>
      <c r="BC16" s="487"/>
      <c r="BD16" s="487"/>
      <c r="BE16" s="487"/>
      <c r="BF16" s="487"/>
      <c r="BG16" s="487"/>
      <c r="BH16" s="487"/>
      <c r="BI16" s="487"/>
      <c r="BJ16" s="487"/>
      <c r="BK16" s="487"/>
      <c r="BL16" s="487"/>
      <c r="BM16" s="487"/>
      <c r="BN16" s="487"/>
      <c r="BO16" s="487"/>
      <c r="BP16" s="487"/>
      <c r="BQ16" s="487"/>
      <c r="BR16" s="487"/>
      <c r="BS16" s="487"/>
      <c r="BT16" s="487"/>
      <c r="BU16" s="487"/>
      <c r="BV16" s="487"/>
    </row>
    <row r="17" spans="1:120" s="488" customFormat="1" ht="15.75" thickBot="1" x14ac:dyDescent="0.3">
      <c r="A17" s="752" t="s">
        <v>200</v>
      </c>
      <c r="B17" s="47" t="s">
        <v>201</v>
      </c>
      <c r="C17" s="515">
        <f>'2021-22 ERC'!F114</f>
        <v>0</v>
      </c>
      <c r="D17" s="515">
        <f>'2021-22 ERC'!G114</f>
        <v>0</v>
      </c>
      <c r="E17" s="182">
        <f t="shared" si="1"/>
        <v>0</v>
      </c>
      <c r="F17" s="246">
        <f t="shared" ref="F17:G21" si="4">J17+L17+N17+P17+R17+T17+V17+X17</f>
        <v>0</v>
      </c>
      <c r="G17" s="246">
        <f t="shared" si="4"/>
        <v>0</v>
      </c>
      <c r="H17" s="271">
        <f>SUM(F17:G17)</f>
        <v>0</v>
      </c>
      <c r="I17" s="270">
        <f t="shared" si="2"/>
        <v>0</v>
      </c>
      <c r="J17" s="32"/>
      <c r="K17" s="33"/>
      <c r="L17" s="34"/>
      <c r="M17" s="35"/>
      <c r="N17" s="36"/>
      <c r="O17" s="37"/>
      <c r="P17" s="34"/>
      <c r="Q17" s="35"/>
      <c r="R17" s="32"/>
      <c r="S17" s="45"/>
      <c r="T17" s="46"/>
      <c r="U17" s="46"/>
      <c r="V17" s="46"/>
      <c r="W17" s="46"/>
      <c r="X17" s="46"/>
      <c r="Y17" s="35"/>
      <c r="Z17" s="116"/>
      <c r="AA17" s="487"/>
      <c r="AB17" s="487"/>
      <c r="AC17" s="487"/>
      <c r="AD17" s="487"/>
      <c r="AE17" s="487"/>
      <c r="AF17" s="487"/>
      <c r="AG17" s="487"/>
      <c r="AH17" s="487"/>
      <c r="AI17" s="487"/>
      <c r="AJ17" s="487"/>
      <c r="AK17" s="487"/>
      <c r="AL17" s="487"/>
      <c r="AM17" s="487"/>
      <c r="AN17" s="487"/>
      <c r="AO17" s="487"/>
      <c r="AP17" s="487"/>
      <c r="AQ17" s="487"/>
      <c r="AR17" s="487"/>
      <c r="AS17" s="487"/>
      <c r="AT17" s="487"/>
      <c r="AU17" s="487"/>
      <c r="AV17" s="487"/>
      <c r="AW17" s="487"/>
      <c r="AX17" s="487"/>
      <c r="AY17" s="487"/>
      <c r="AZ17" s="487"/>
      <c r="BA17" s="487"/>
      <c r="BB17" s="487"/>
      <c r="BC17" s="487"/>
      <c r="BD17" s="487"/>
      <c r="BE17" s="487"/>
      <c r="BF17" s="487"/>
      <c r="BG17" s="487"/>
      <c r="BH17" s="487"/>
      <c r="BI17" s="487"/>
      <c r="BJ17" s="487"/>
      <c r="BK17" s="487"/>
      <c r="BL17" s="487"/>
      <c r="BM17" s="487"/>
      <c r="BN17" s="487"/>
      <c r="BO17" s="487"/>
      <c r="BP17" s="487"/>
      <c r="BQ17" s="487"/>
      <c r="BR17" s="487"/>
      <c r="BS17" s="487"/>
      <c r="BT17" s="487"/>
      <c r="BU17" s="487"/>
      <c r="BV17" s="487"/>
    </row>
    <row r="18" spans="1:120" s="488" customFormat="1" ht="30.75" thickBot="1" x14ac:dyDescent="0.3">
      <c r="A18" s="753"/>
      <c r="B18" s="48" t="s">
        <v>133</v>
      </c>
      <c r="C18" s="515">
        <f>'2021-22 ERC'!F115</f>
        <v>0</v>
      </c>
      <c r="D18" s="515">
        <f>'2021-22 ERC'!G115</f>
        <v>0</v>
      </c>
      <c r="E18" s="182">
        <f t="shared" si="1"/>
        <v>0</v>
      </c>
      <c r="F18" s="246">
        <f t="shared" si="4"/>
        <v>0</v>
      </c>
      <c r="G18" s="246">
        <f t="shared" si="4"/>
        <v>0</v>
      </c>
      <c r="H18" s="271">
        <f t="shared" ref="H18" si="5">SUM(F18:G18)</f>
        <v>0</v>
      </c>
      <c r="I18" s="270">
        <f t="shared" si="2"/>
        <v>0</v>
      </c>
      <c r="J18" s="32"/>
      <c r="K18" s="33"/>
      <c r="L18" s="34"/>
      <c r="M18" s="35"/>
      <c r="N18" s="36"/>
      <c r="O18" s="37"/>
      <c r="P18" s="34"/>
      <c r="Q18" s="35"/>
      <c r="R18" s="32"/>
      <c r="S18" s="45"/>
      <c r="T18" s="46"/>
      <c r="U18" s="46"/>
      <c r="V18" s="46"/>
      <c r="W18" s="46"/>
      <c r="X18" s="46"/>
      <c r="Y18" s="35"/>
      <c r="Z18" s="116"/>
      <c r="AA18" s="487"/>
      <c r="AB18" s="487"/>
      <c r="AC18" s="487"/>
      <c r="AD18" s="487"/>
      <c r="AE18" s="487"/>
      <c r="AF18" s="487"/>
      <c r="AG18" s="487"/>
      <c r="AH18" s="487"/>
      <c r="AI18" s="487"/>
      <c r="AJ18" s="487"/>
      <c r="AK18" s="487"/>
      <c r="AL18" s="487"/>
      <c r="AM18" s="487"/>
      <c r="AN18" s="487"/>
      <c r="AO18" s="487"/>
      <c r="AP18" s="487"/>
      <c r="AQ18" s="487"/>
      <c r="AR18" s="487"/>
      <c r="AS18" s="487"/>
      <c r="AT18" s="487"/>
      <c r="AU18" s="487"/>
      <c r="AV18" s="487"/>
      <c r="AW18" s="487"/>
      <c r="AX18" s="487"/>
      <c r="AY18" s="487"/>
      <c r="AZ18" s="487"/>
      <c r="BA18" s="487"/>
      <c r="BB18" s="487"/>
      <c r="BC18" s="487"/>
      <c r="BD18" s="487"/>
      <c r="BE18" s="487"/>
      <c r="BF18" s="487"/>
      <c r="BG18" s="487"/>
      <c r="BH18" s="487"/>
      <c r="BI18" s="487"/>
      <c r="BJ18" s="487"/>
      <c r="BK18" s="487"/>
      <c r="BL18" s="487"/>
      <c r="BM18" s="487"/>
      <c r="BN18" s="487"/>
      <c r="BO18" s="487"/>
      <c r="BP18" s="487"/>
      <c r="BQ18" s="487"/>
      <c r="BR18" s="487"/>
      <c r="BS18" s="487"/>
      <c r="BT18" s="487"/>
      <c r="BU18" s="487"/>
      <c r="BV18" s="487"/>
    </row>
    <row r="19" spans="1:120" s="488" customFormat="1" ht="15.75" thickBot="1" x14ac:dyDescent="0.3">
      <c r="A19" s="753"/>
      <c r="B19" s="49" t="s">
        <v>202</v>
      </c>
      <c r="C19" s="515">
        <f>'2021-22 ERC'!F116</f>
        <v>0</v>
      </c>
      <c r="D19" s="515">
        <f>'2021-22 ERC'!G116</f>
        <v>0</v>
      </c>
      <c r="E19" s="182">
        <f t="shared" si="1"/>
        <v>0</v>
      </c>
      <c r="F19" s="246">
        <f t="shared" si="4"/>
        <v>0</v>
      </c>
      <c r="G19" s="246">
        <f t="shared" si="4"/>
        <v>0</v>
      </c>
      <c r="H19" s="246">
        <f>SUM(F19:G19)</f>
        <v>0</v>
      </c>
      <c r="I19" s="270">
        <f t="shared" si="2"/>
        <v>0</v>
      </c>
      <c r="J19" s="32"/>
      <c r="K19" s="33"/>
      <c r="L19" s="34"/>
      <c r="M19" s="35"/>
      <c r="N19" s="36"/>
      <c r="O19" s="37"/>
      <c r="P19" s="34"/>
      <c r="Q19" s="35"/>
      <c r="R19" s="32"/>
      <c r="S19" s="45"/>
      <c r="T19" s="46"/>
      <c r="U19" s="46"/>
      <c r="V19" s="46"/>
      <c r="W19" s="46"/>
      <c r="X19" s="46"/>
      <c r="Y19" s="35"/>
      <c r="Z19" s="116"/>
      <c r="AA19" s="487"/>
      <c r="AB19" s="487"/>
      <c r="AC19" s="487"/>
      <c r="AD19" s="487"/>
      <c r="AE19" s="487"/>
      <c r="AF19" s="487"/>
      <c r="AG19" s="487"/>
      <c r="AH19" s="487"/>
      <c r="AI19" s="487"/>
      <c r="AJ19" s="487"/>
      <c r="AK19" s="487"/>
      <c r="AL19" s="487"/>
      <c r="AM19" s="487"/>
      <c r="AN19" s="487"/>
      <c r="AO19" s="487"/>
      <c r="AP19" s="487"/>
      <c r="AQ19" s="487"/>
      <c r="AR19" s="487"/>
      <c r="AS19" s="487"/>
      <c r="AT19" s="487"/>
      <c r="AU19" s="487"/>
      <c r="AV19" s="487"/>
      <c r="AW19" s="487"/>
      <c r="AX19" s="487"/>
      <c r="AY19" s="487"/>
      <c r="AZ19" s="487"/>
      <c r="BA19" s="487"/>
      <c r="BB19" s="487"/>
      <c r="BC19" s="487"/>
      <c r="BD19" s="487"/>
      <c r="BE19" s="487"/>
      <c r="BF19" s="487"/>
      <c r="BG19" s="487"/>
      <c r="BH19" s="487"/>
      <c r="BI19" s="487"/>
      <c r="BJ19" s="487"/>
      <c r="BK19" s="487"/>
      <c r="BL19" s="487"/>
      <c r="BM19" s="487"/>
      <c r="BN19" s="487"/>
      <c r="BO19" s="487"/>
      <c r="BP19" s="487"/>
      <c r="BQ19" s="487"/>
      <c r="BR19" s="487"/>
      <c r="BS19" s="487"/>
      <c r="BT19" s="487"/>
      <c r="BU19" s="487"/>
      <c r="BV19" s="487"/>
    </row>
    <row r="20" spans="1:120" s="488" customFormat="1" ht="15.75" thickBot="1" x14ac:dyDescent="0.3">
      <c r="A20" s="753"/>
      <c r="B20" s="50" t="s">
        <v>135</v>
      </c>
      <c r="C20" s="515">
        <f>'2021-22 ERC'!F117</f>
        <v>0</v>
      </c>
      <c r="D20" s="515">
        <f>'2021-22 ERC'!G117</f>
        <v>0</v>
      </c>
      <c r="E20" s="182">
        <f t="shared" si="1"/>
        <v>0</v>
      </c>
      <c r="F20" s="246">
        <f t="shared" si="4"/>
        <v>0</v>
      </c>
      <c r="G20" s="246">
        <f t="shared" si="4"/>
        <v>0</v>
      </c>
      <c r="H20" s="271">
        <f t="shared" ref="H20:H22" si="6">SUM(F20:G20)</f>
        <v>0</v>
      </c>
      <c r="I20" s="270">
        <f t="shared" si="2"/>
        <v>0</v>
      </c>
      <c r="J20" s="32"/>
      <c r="K20" s="33"/>
      <c r="L20" s="34"/>
      <c r="M20" s="35"/>
      <c r="N20" s="36"/>
      <c r="O20" s="37"/>
      <c r="P20" s="34"/>
      <c r="Q20" s="35"/>
      <c r="R20" s="32"/>
      <c r="S20" s="45"/>
      <c r="T20" s="46"/>
      <c r="U20" s="46"/>
      <c r="V20" s="46"/>
      <c r="W20" s="46"/>
      <c r="X20" s="46"/>
      <c r="Y20" s="35"/>
      <c r="Z20" s="116"/>
      <c r="AA20" s="487"/>
      <c r="AB20" s="487"/>
      <c r="AC20" s="487"/>
      <c r="AD20" s="487"/>
      <c r="AE20" s="487"/>
      <c r="AF20" s="487"/>
      <c r="AG20" s="487"/>
      <c r="AH20" s="487"/>
      <c r="AI20" s="487"/>
      <c r="AJ20" s="487"/>
      <c r="AK20" s="487"/>
      <c r="AL20" s="487"/>
      <c r="AM20" s="487"/>
      <c r="AN20" s="487"/>
      <c r="AO20" s="487"/>
      <c r="AP20" s="487"/>
      <c r="AQ20" s="487"/>
      <c r="AR20" s="487"/>
      <c r="AS20" s="487"/>
      <c r="AT20" s="487"/>
      <c r="AU20" s="487"/>
      <c r="AV20" s="487"/>
      <c r="AW20" s="487"/>
      <c r="AX20" s="487"/>
      <c r="AY20" s="487"/>
      <c r="AZ20" s="487"/>
      <c r="BA20" s="487"/>
      <c r="BB20" s="487"/>
      <c r="BC20" s="487"/>
      <c r="BD20" s="487"/>
      <c r="BE20" s="487"/>
      <c r="BF20" s="487"/>
      <c r="BG20" s="487"/>
      <c r="BH20" s="487"/>
      <c r="BI20" s="487"/>
      <c r="BJ20" s="487"/>
      <c r="BK20" s="487"/>
      <c r="BL20" s="487"/>
      <c r="BM20" s="487"/>
      <c r="BN20" s="487"/>
      <c r="BO20" s="487"/>
      <c r="BP20" s="487"/>
      <c r="BQ20" s="487"/>
      <c r="BR20" s="487"/>
      <c r="BS20" s="487"/>
      <c r="BT20" s="487"/>
      <c r="BU20" s="487"/>
      <c r="BV20" s="487"/>
    </row>
    <row r="21" spans="1:120" s="488" customFormat="1" ht="26.25" customHeight="1" thickBot="1" x14ac:dyDescent="0.3">
      <c r="A21" s="753"/>
      <c r="B21" s="50" t="s">
        <v>203</v>
      </c>
      <c r="C21" s="515">
        <f>'2021-22 ERC'!F118</f>
        <v>0</v>
      </c>
      <c r="D21" s="515">
        <f>'2021-22 ERC'!G118</f>
        <v>0</v>
      </c>
      <c r="E21" s="182">
        <f t="shared" si="1"/>
        <v>0</v>
      </c>
      <c r="F21" s="246">
        <f t="shared" si="4"/>
        <v>0</v>
      </c>
      <c r="G21" s="246">
        <f t="shared" si="4"/>
        <v>0</v>
      </c>
      <c r="H21" s="271">
        <f t="shared" si="6"/>
        <v>0</v>
      </c>
      <c r="I21" s="270">
        <f t="shared" si="2"/>
        <v>0</v>
      </c>
      <c r="J21" s="32"/>
      <c r="K21" s="33"/>
      <c r="L21" s="34"/>
      <c r="M21" s="35"/>
      <c r="N21" s="36"/>
      <c r="O21" s="37"/>
      <c r="P21" s="34"/>
      <c r="Q21" s="35"/>
      <c r="R21" s="32"/>
      <c r="S21" s="45"/>
      <c r="T21" s="46"/>
      <c r="U21" s="46"/>
      <c r="V21" s="46"/>
      <c r="W21" s="46"/>
      <c r="X21" s="46"/>
      <c r="Y21" s="35"/>
      <c r="Z21" s="116"/>
      <c r="AA21" s="487"/>
      <c r="AB21" s="487"/>
      <c r="AC21" s="487"/>
      <c r="AD21" s="487"/>
      <c r="AE21" s="487"/>
      <c r="AF21" s="487"/>
      <c r="AG21" s="487"/>
      <c r="AH21" s="487"/>
      <c r="AI21" s="487"/>
      <c r="AJ21" s="487"/>
      <c r="AK21" s="487"/>
      <c r="AL21" s="487"/>
      <c r="AM21" s="487"/>
      <c r="AN21" s="487"/>
      <c r="AO21" s="487"/>
      <c r="AP21" s="487"/>
      <c r="AQ21" s="487"/>
      <c r="AR21" s="487"/>
      <c r="AS21" s="487"/>
      <c r="AT21" s="487"/>
      <c r="AU21" s="487"/>
      <c r="AV21" s="487"/>
      <c r="AW21" s="487"/>
      <c r="AX21" s="487"/>
      <c r="AY21" s="487"/>
      <c r="AZ21" s="487"/>
      <c r="BA21" s="487"/>
      <c r="BB21" s="487"/>
      <c r="BC21" s="487"/>
      <c r="BD21" s="487"/>
      <c r="BE21" s="487"/>
      <c r="BF21" s="487"/>
      <c r="BG21" s="487"/>
      <c r="BH21" s="487"/>
      <c r="BI21" s="487"/>
      <c r="BJ21" s="487"/>
      <c r="BK21" s="487"/>
      <c r="BL21" s="487"/>
      <c r="BM21" s="487"/>
      <c r="BN21" s="487"/>
      <c r="BO21" s="487"/>
      <c r="BP21" s="487"/>
      <c r="BQ21" s="487"/>
      <c r="BR21" s="487"/>
      <c r="BS21" s="487"/>
      <c r="BT21" s="487"/>
      <c r="BU21" s="487"/>
      <c r="BV21" s="487"/>
    </row>
    <row r="22" spans="1:120" s="488" customFormat="1" ht="15.75" thickBot="1" x14ac:dyDescent="0.3">
      <c r="A22" s="754" t="s">
        <v>204</v>
      </c>
      <c r="B22" s="755"/>
      <c r="C22" s="515">
        <f>'2021-22 ERC'!F119</f>
        <v>0</v>
      </c>
      <c r="D22" s="515">
        <f>'2021-22 ERC'!G119</f>
        <v>0</v>
      </c>
      <c r="E22" s="182">
        <f t="shared" si="1"/>
        <v>0</v>
      </c>
      <c r="F22" s="246">
        <f>J22+L22+N22+P22</f>
        <v>0</v>
      </c>
      <c r="G22" s="246">
        <f>K22+M22+O22+Q22</f>
        <v>0</v>
      </c>
      <c r="H22" s="271">
        <f t="shared" si="6"/>
        <v>0</v>
      </c>
      <c r="I22" s="246">
        <f t="shared" si="2"/>
        <v>0</v>
      </c>
      <c r="J22" s="51"/>
      <c r="K22" s="52"/>
      <c r="L22" s="53"/>
      <c r="M22" s="54"/>
      <c r="N22" s="53"/>
      <c r="O22" s="54"/>
      <c r="P22" s="53"/>
      <c r="Q22" s="54"/>
      <c r="R22" s="55"/>
      <c r="S22" s="56"/>
      <c r="T22" s="55"/>
      <c r="U22" s="56"/>
      <c r="V22" s="55"/>
      <c r="W22" s="57"/>
      <c r="X22" s="55"/>
      <c r="Y22" s="58"/>
      <c r="Z22" s="116"/>
      <c r="AA22" s="487"/>
      <c r="AB22" s="487"/>
      <c r="AC22" s="487"/>
      <c r="AD22" s="487"/>
      <c r="AE22" s="487"/>
      <c r="AF22" s="487"/>
      <c r="AG22" s="487"/>
      <c r="AH22" s="487"/>
      <c r="AI22" s="487"/>
      <c r="AJ22" s="487"/>
      <c r="AK22" s="487"/>
      <c r="AL22" s="487"/>
      <c r="AM22" s="487"/>
      <c r="AN22" s="487"/>
      <c r="AO22" s="487"/>
      <c r="AP22" s="487"/>
      <c r="AQ22" s="487"/>
      <c r="AR22" s="487"/>
      <c r="AS22" s="487"/>
      <c r="AT22" s="487"/>
      <c r="AU22" s="487"/>
      <c r="AV22" s="487"/>
      <c r="AW22" s="487"/>
      <c r="AX22" s="487"/>
      <c r="AY22" s="487"/>
      <c r="AZ22" s="487"/>
      <c r="BA22" s="487"/>
      <c r="BB22" s="487"/>
      <c r="BC22" s="487"/>
      <c r="BD22" s="487"/>
      <c r="BE22" s="487"/>
      <c r="BF22" s="487"/>
      <c r="BG22" s="487"/>
      <c r="BH22" s="487"/>
      <c r="BI22" s="487"/>
      <c r="BJ22" s="487"/>
      <c r="BK22" s="487"/>
      <c r="BL22" s="487"/>
      <c r="BM22" s="487"/>
      <c r="BN22" s="487"/>
      <c r="BO22" s="487"/>
      <c r="BP22" s="487"/>
      <c r="BQ22" s="487"/>
      <c r="BR22" s="487"/>
      <c r="BS22" s="487"/>
      <c r="BT22" s="487"/>
      <c r="BU22" s="487"/>
      <c r="BV22" s="487"/>
    </row>
    <row r="23" spans="1:120" s="488" customFormat="1" ht="15.75" thickBot="1" x14ac:dyDescent="0.3">
      <c r="A23" s="756" t="s">
        <v>205</v>
      </c>
      <c r="B23" s="59" t="s">
        <v>206</v>
      </c>
      <c r="C23" s="515">
        <f>'2021-22 ERC'!F120</f>
        <v>0</v>
      </c>
      <c r="D23" s="515">
        <f>'2021-22 ERC'!G120</f>
        <v>0</v>
      </c>
      <c r="E23" s="182">
        <f t="shared" si="1"/>
        <v>0</v>
      </c>
      <c r="F23" s="246">
        <f t="shared" ref="F23:G24" si="7">J23+L23+N23+P23+R23+T23+V23+X23</f>
        <v>0</v>
      </c>
      <c r="G23" s="246">
        <f t="shared" si="7"/>
        <v>0</v>
      </c>
      <c r="H23" s="246">
        <f>SUM(F23:G23)</f>
        <v>0</v>
      </c>
      <c r="I23" s="270">
        <f t="shared" si="2"/>
        <v>0</v>
      </c>
      <c r="J23" s="34"/>
      <c r="K23" s="46"/>
      <c r="L23" s="34"/>
      <c r="M23" s="46"/>
      <c r="N23" s="34"/>
      <c r="O23" s="37"/>
      <c r="P23" s="34"/>
      <c r="Q23" s="35"/>
      <c r="R23" s="34"/>
      <c r="S23" s="46"/>
      <c r="T23" s="34"/>
      <c r="U23" s="46"/>
      <c r="V23" s="34"/>
      <c r="W23" s="37"/>
      <c r="X23" s="34"/>
      <c r="Y23" s="35"/>
      <c r="Z23" s="116"/>
      <c r="AA23" s="116"/>
      <c r="AB23" s="116"/>
      <c r="AC23" s="116"/>
      <c r="AD23" s="116"/>
      <c r="AE23" s="487"/>
      <c r="AF23" s="487"/>
      <c r="AG23" s="487"/>
      <c r="AH23" s="487"/>
      <c r="AI23" s="487"/>
      <c r="AJ23" s="487"/>
      <c r="AK23" s="487"/>
      <c r="AL23" s="487"/>
      <c r="AM23" s="487"/>
      <c r="AN23" s="487"/>
      <c r="AO23" s="487"/>
      <c r="AP23" s="487"/>
      <c r="AQ23" s="487"/>
      <c r="AR23" s="487"/>
      <c r="AS23" s="487"/>
      <c r="AT23" s="487"/>
      <c r="AU23" s="487"/>
      <c r="AV23" s="487"/>
      <c r="AW23" s="487"/>
      <c r="AX23" s="487"/>
      <c r="AY23" s="487"/>
      <c r="AZ23" s="487"/>
      <c r="BA23" s="487"/>
      <c r="BB23" s="487"/>
      <c r="BC23" s="487"/>
      <c r="BD23" s="487"/>
      <c r="BE23" s="487"/>
      <c r="BF23" s="487"/>
      <c r="BG23" s="487"/>
      <c r="BH23" s="487"/>
      <c r="BI23" s="487"/>
      <c r="BJ23" s="487"/>
      <c r="BK23" s="487"/>
      <c r="BL23" s="487"/>
      <c r="BM23" s="487"/>
      <c r="BN23" s="487"/>
      <c r="BO23" s="487"/>
      <c r="BP23" s="487"/>
      <c r="BQ23" s="487"/>
      <c r="BR23" s="487"/>
      <c r="BS23" s="487"/>
      <c r="BT23" s="487"/>
      <c r="BU23" s="487"/>
      <c r="BV23" s="487"/>
      <c r="BW23" s="487"/>
      <c r="BX23" s="487"/>
      <c r="BY23" s="487"/>
      <c r="BZ23" s="487"/>
    </row>
    <row r="24" spans="1:120" s="488" customFormat="1" ht="15.75" thickBot="1" x14ac:dyDescent="0.3">
      <c r="A24" s="753"/>
      <c r="B24" s="59" t="s">
        <v>140</v>
      </c>
      <c r="C24" s="515">
        <f>'2021-22 ERC'!F121</f>
        <v>0</v>
      </c>
      <c r="D24" s="515">
        <f>'2021-22 ERC'!G121</f>
        <v>0</v>
      </c>
      <c r="E24" s="182">
        <f t="shared" si="1"/>
        <v>0</v>
      </c>
      <c r="F24" s="246">
        <f t="shared" si="7"/>
        <v>0</v>
      </c>
      <c r="G24" s="246">
        <f t="shared" si="7"/>
        <v>0</v>
      </c>
      <c r="H24" s="271">
        <f t="shared" ref="H24" si="8">SUM(F24:G24)</f>
        <v>0</v>
      </c>
      <c r="I24" s="270">
        <f t="shared" si="2"/>
        <v>0</v>
      </c>
      <c r="J24" s="34"/>
      <c r="K24" s="46"/>
      <c r="L24" s="34"/>
      <c r="M24" s="46"/>
      <c r="N24" s="34"/>
      <c r="O24" s="37"/>
      <c r="P24" s="34"/>
      <c r="Q24" s="35"/>
      <c r="R24" s="34"/>
      <c r="S24" s="46"/>
      <c r="T24" s="34"/>
      <c r="U24" s="46"/>
      <c r="V24" s="34"/>
      <c r="W24" s="37"/>
      <c r="X24" s="34"/>
      <c r="Y24" s="35"/>
      <c r="Z24" s="116"/>
      <c r="AA24" s="116"/>
      <c r="AB24" s="116"/>
      <c r="AC24" s="116"/>
      <c r="AD24" s="116"/>
      <c r="AE24" s="487"/>
      <c r="AF24" s="487"/>
      <c r="AG24" s="487"/>
      <c r="AH24" s="487"/>
      <c r="AI24" s="487"/>
      <c r="AJ24" s="487"/>
      <c r="AK24" s="487"/>
      <c r="AL24" s="487"/>
      <c r="AM24" s="487"/>
      <c r="AN24" s="487"/>
      <c r="AO24" s="487"/>
      <c r="AP24" s="487"/>
      <c r="AQ24" s="487"/>
      <c r="AR24" s="487"/>
      <c r="AS24" s="487"/>
      <c r="AT24" s="487"/>
      <c r="AU24" s="487"/>
      <c r="AV24" s="487"/>
      <c r="AW24" s="487"/>
      <c r="AX24" s="487"/>
      <c r="AY24" s="487"/>
      <c r="AZ24" s="487"/>
      <c r="BA24" s="487"/>
      <c r="BB24" s="487"/>
      <c r="BC24" s="487"/>
      <c r="BD24" s="487"/>
      <c r="BE24" s="487"/>
      <c r="BF24" s="487"/>
      <c r="BG24" s="487"/>
      <c r="BH24" s="487"/>
      <c r="BI24" s="487"/>
      <c r="BJ24" s="487"/>
      <c r="BK24" s="487"/>
      <c r="BL24" s="487"/>
      <c r="BM24" s="487"/>
      <c r="BN24" s="487"/>
      <c r="BO24" s="487"/>
      <c r="BP24" s="487"/>
      <c r="BQ24" s="487"/>
      <c r="BR24" s="487"/>
      <c r="BS24" s="487"/>
      <c r="BT24" s="487"/>
      <c r="BU24" s="487"/>
      <c r="BV24" s="487"/>
      <c r="BW24" s="487"/>
      <c r="BX24" s="487"/>
      <c r="BY24" s="487"/>
      <c r="BZ24" s="487"/>
    </row>
    <row r="25" spans="1:120" s="488" customFormat="1" ht="15.75" thickBot="1" x14ac:dyDescent="0.3">
      <c r="A25" s="753"/>
      <c r="B25" s="50" t="s">
        <v>141</v>
      </c>
      <c r="C25" s="515">
        <f>'2021-22 ERC'!F122</f>
        <v>0</v>
      </c>
      <c r="D25" s="515">
        <f>'2021-22 ERC'!G122</f>
        <v>0</v>
      </c>
      <c r="E25" s="182">
        <f t="shared" ref="E25" si="9">SUM(C25:D25)</f>
        <v>0</v>
      </c>
      <c r="F25" s="246">
        <f>J25+L25+N25+P25+R25+T25+V25+X25</f>
        <v>0</v>
      </c>
      <c r="G25" s="246">
        <f>K25+M25+O25+Q25+S25+U25+W25+Y25</f>
        <v>0</v>
      </c>
      <c r="H25" s="271">
        <f>SUM(F25:G25)</f>
        <v>0</v>
      </c>
      <c r="I25" s="270">
        <f t="shared" si="2"/>
        <v>0</v>
      </c>
      <c r="J25" s="32"/>
      <c r="K25" s="33"/>
      <c r="L25" s="34"/>
      <c r="M25" s="35"/>
      <c r="N25" s="36"/>
      <c r="O25" s="37"/>
      <c r="P25" s="34"/>
      <c r="Q25" s="35"/>
      <c r="R25" s="32"/>
      <c r="S25" s="45"/>
      <c r="T25" s="46"/>
      <c r="U25" s="46"/>
      <c r="V25" s="46"/>
      <c r="W25" s="46"/>
      <c r="X25" s="46"/>
      <c r="Y25" s="35"/>
      <c r="Z25" s="116"/>
      <c r="AA25" s="116"/>
      <c r="AB25" s="116"/>
      <c r="AC25" s="116"/>
      <c r="AD25" s="116"/>
      <c r="AE25" s="487"/>
      <c r="AF25" s="487"/>
      <c r="AG25" s="487"/>
      <c r="AH25" s="487"/>
      <c r="AI25" s="487"/>
      <c r="AJ25" s="487"/>
      <c r="AK25" s="487"/>
      <c r="AL25" s="487"/>
      <c r="AM25" s="487"/>
      <c r="AN25" s="487"/>
      <c r="AO25" s="487"/>
      <c r="AP25" s="487"/>
      <c r="AQ25" s="487"/>
      <c r="AR25" s="487"/>
      <c r="AS25" s="487"/>
      <c r="AT25" s="487"/>
      <c r="AU25" s="487"/>
      <c r="AV25" s="487"/>
      <c r="AW25" s="487"/>
      <c r="AX25" s="487"/>
      <c r="AY25" s="487"/>
      <c r="AZ25" s="487"/>
      <c r="BA25" s="487"/>
      <c r="BB25" s="487"/>
      <c r="BC25" s="487"/>
      <c r="BD25" s="487"/>
      <c r="BE25" s="487"/>
      <c r="BF25" s="487"/>
      <c r="BG25" s="487"/>
      <c r="BH25" s="487"/>
      <c r="BI25" s="487"/>
      <c r="BJ25" s="487"/>
      <c r="BK25" s="487"/>
      <c r="BL25" s="487"/>
      <c r="BM25" s="487"/>
      <c r="BN25" s="487"/>
      <c r="BO25" s="487"/>
      <c r="BP25" s="487"/>
      <c r="BQ25" s="487"/>
      <c r="BR25" s="487"/>
      <c r="BS25" s="487"/>
      <c r="BT25" s="487"/>
      <c r="BU25" s="487"/>
      <c r="BV25" s="487"/>
      <c r="BW25" s="487"/>
      <c r="BX25" s="487"/>
      <c r="BY25" s="487"/>
      <c r="BZ25" s="487"/>
    </row>
    <row r="26" spans="1:120" s="488" customFormat="1" ht="16.5" customHeight="1" thickBot="1" x14ac:dyDescent="0.3">
      <c r="A26" s="753"/>
      <c r="B26" s="60" t="s">
        <v>142</v>
      </c>
      <c r="C26" s="515">
        <f>'2021-22 ERC'!F123</f>
        <v>0</v>
      </c>
      <c r="D26" s="515">
        <f>'2021-22 ERC'!G123</f>
        <v>0</v>
      </c>
      <c r="E26" s="182">
        <f t="shared" ref="E26" si="10">SUM(C26:D26)</f>
        <v>0</v>
      </c>
      <c r="F26" s="246">
        <f t="shared" ref="F26:G26" si="11">J26+L26+N26+P26+R26+T26+V26+X26</f>
        <v>0</v>
      </c>
      <c r="G26" s="246">
        <f t="shared" si="11"/>
        <v>0</v>
      </c>
      <c r="H26" s="271">
        <f t="shared" ref="H26" si="12">SUM(F26:G26)</f>
        <v>0</v>
      </c>
      <c r="I26" s="270">
        <f t="shared" si="2"/>
        <v>0</v>
      </c>
      <c r="J26" s="34"/>
      <c r="K26" s="46"/>
      <c r="L26" s="34"/>
      <c r="M26" s="46"/>
      <c r="N26" s="34"/>
      <c r="O26" s="37"/>
      <c r="P26" s="34"/>
      <c r="Q26" s="35"/>
      <c r="R26" s="34"/>
      <c r="S26" s="46"/>
      <c r="T26" s="34"/>
      <c r="U26" s="46"/>
      <c r="V26" s="34"/>
      <c r="W26" s="37"/>
      <c r="X26" s="34"/>
      <c r="Y26" s="35"/>
      <c r="Z26" s="116"/>
      <c r="AA26" s="116"/>
      <c r="AB26" s="116"/>
      <c r="AC26" s="116"/>
      <c r="AD26" s="116"/>
      <c r="AE26" s="487"/>
      <c r="AF26" s="487"/>
      <c r="AG26" s="487"/>
      <c r="AH26" s="487"/>
      <c r="AI26" s="487"/>
      <c r="AJ26" s="487"/>
      <c r="AK26" s="487"/>
      <c r="AL26" s="487"/>
      <c r="AM26" s="487"/>
      <c r="AN26" s="487"/>
      <c r="AO26" s="487"/>
      <c r="AP26" s="487"/>
      <c r="AQ26" s="487"/>
      <c r="AR26" s="487"/>
      <c r="AS26" s="487"/>
      <c r="AT26" s="487"/>
      <c r="AU26" s="487"/>
      <c r="AV26" s="487"/>
      <c r="AW26" s="487"/>
      <c r="AX26" s="487"/>
      <c r="AY26" s="487"/>
      <c r="AZ26" s="487"/>
      <c r="BA26" s="487"/>
      <c r="BB26" s="487"/>
      <c r="BC26" s="487"/>
      <c r="BD26" s="487"/>
      <c r="BE26" s="487"/>
      <c r="BF26" s="487"/>
      <c r="BG26" s="487"/>
      <c r="BH26" s="487"/>
      <c r="BI26" s="487"/>
      <c r="BJ26" s="487"/>
      <c r="BK26" s="487"/>
      <c r="BL26" s="487"/>
      <c r="BM26" s="487"/>
      <c r="BN26" s="487"/>
      <c r="BO26" s="487"/>
      <c r="BP26" s="487"/>
      <c r="BQ26" s="487"/>
      <c r="BR26" s="487"/>
      <c r="BS26" s="487"/>
      <c r="BT26" s="487"/>
      <c r="BU26" s="487"/>
      <c r="BV26" s="487"/>
      <c r="BW26" s="487"/>
      <c r="BX26" s="487"/>
      <c r="BY26" s="487"/>
      <c r="BZ26" s="487"/>
    </row>
    <row r="27" spans="1:120" s="480" customFormat="1" ht="16.5" thickTop="1" thickBot="1" x14ac:dyDescent="0.3">
      <c r="A27" s="757" t="s">
        <v>207</v>
      </c>
      <c r="B27" s="758"/>
      <c r="C27" s="515">
        <f>'2021-22 ERC'!F124</f>
        <v>2</v>
      </c>
      <c r="D27" s="515">
        <f>'2021-22 ERC'!G124</f>
        <v>0</v>
      </c>
      <c r="E27" s="183">
        <f>SUM(C27:D27)</f>
        <v>2</v>
      </c>
      <c r="F27" s="256">
        <f>J27+L27+N27+P27</f>
        <v>2</v>
      </c>
      <c r="G27" s="256">
        <f>K27+M27+O27+Q27</f>
        <v>0</v>
      </c>
      <c r="H27" s="272">
        <f>SUM(F27:G27)</f>
        <v>2</v>
      </c>
      <c r="I27" s="246">
        <f t="shared" si="2"/>
        <v>100</v>
      </c>
      <c r="J27" s="258">
        <f t="shared" ref="J27:Q27" si="13">SUM(J13:J26)</f>
        <v>0</v>
      </c>
      <c r="K27" s="258">
        <f t="shared" si="13"/>
        <v>0</v>
      </c>
      <c r="L27" s="258">
        <f t="shared" si="13"/>
        <v>0</v>
      </c>
      <c r="M27" s="258">
        <f t="shared" si="13"/>
        <v>0</v>
      </c>
      <c r="N27" s="258">
        <f t="shared" si="13"/>
        <v>1</v>
      </c>
      <c r="O27" s="258">
        <f t="shared" si="13"/>
        <v>0</v>
      </c>
      <c r="P27" s="258">
        <f t="shared" si="13"/>
        <v>1</v>
      </c>
      <c r="Q27" s="258">
        <f t="shared" si="13"/>
        <v>0</v>
      </c>
      <c r="R27" s="61"/>
      <c r="S27" s="62"/>
      <c r="T27" s="61"/>
      <c r="U27" s="62"/>
      <c r="V27" s="61"/>
      <c r="W27" s="62"/>
      <c r="X27" s="61"/>
      <c r="Y27" s="64"/>
      <c r="Z27" s="116"/>
      <c r="AA27" s="116"/>
      <c r="AB27" s="116"/>
      <c r="AC27" s="116"/>
      <c r="AD27" s="116"/>
    </row>
    <row r="28" spans="1:120" s="480" customFormat="1" ht="15.75" thickBot="1" x14ac:dyDescent="0.3">
      <c r="A28" s="735" t="s">
        <v>208</v>
      </c>
      <c r="B28" s="736"/>
      <c r="C28" s="515">
        <f>'2021-22 ERC'!F125</f>
        <v>0</v>
      </c>
      <c r="D28" s="515">
        <f>'2021-22 ERC'!G125</f>
        <v>0</v>
      </c>
      <c r="E28" s="182">
        <f>SUM(C28:D28)</f>
        <v>0</v>
      </c>
      <c r="F28" s="246">
        <f>R28+T28+V28+X28</f>
        <v>0</v>
      </c>
      <c r="G28" s="246">
        <f>S28+U28+W28+Y28</f>
        <v>0</v>
      </c>
      <c r="H28" s="246">
        <f>SUM(F28:G28)</f>
        <v>0</v>
      </c>
      <c r="I28" s="246">
        <f t="shared" si="2"/>
        <v>0</v>
      </c>
      <c r="J28" s="42"/>
      <c r="K28" s="43"/>
      <c r="L28" s="44"/>
      <c r="M28" s="43"/>
      <c r="N28" s="44"/>
      <c r="O28" s="43"/>
      <c r="P28" s="44"/>
      <c r="Q28" s="43"/>
      <c r="R28" s="259">
        <f t="shared" ref="R28:Y28" si="14">SUM(R13:R27)</f>
        <v>0</v>
      </c>
      <c r="S28" s="259">
        <f t="shared" si="14"/>
        <v>0</v>
      </c>
      <c r="T28" s="259">
        <f t="shared" si="14"/>
        <v>0</v>
      </c>
      <c r="U28" s="259">
        <f t="shared" si="14"/>
        <v>0</v>
      </c>
      <c r="V28" s="259">
        <f t="shared" si="14"/>
        <v>0</v>
      </c>
      <c r="W28" s="259">
        <f t="shared" si="14"/>
        <v>0</v>
      </c>
      <c r="X28" s="259">
        <f t="shared" si="14"/>
        <v>0</v>
      </c>
      <c r="Y28" s="259">
        <f t="shared" si="14"/>
        <v>0</v>
      </c>
      <c r="Z28" s="116"/>
      <c r="AA28" s="116"/>
      <c r="AB28" s="116"/>
      <c r="AC28" s="116"/>
    </row>
    <row r="29" spans="1:120" ht="20.25" customHeight="1" thickBot="1" x14ac:dyDescent="0.3">
      <c r="A29" s="737" t="s">
        <v>209</v>
      </c>
      <c r="B29" s="278" t="s">
        <v>210</v>
      </c>
      <c r="C29" s="66"/>
      <c r="D29" s="66"/>
      <c r="E29" s="66"/>
      <c r="F29" s="67"/>
      <c r="G29" s="68"/>
      <c r="H29" s="69"/>
      <c r="I29" s="69"/>
      <c r="J29" s="70"/>
      <c r="K29" s="71"/>
      <c r="L29" s="72"/>
      <c r="M29" s="73"/>
      <c r="N29" s="72"/>
      <c r="O29" s="73"/>
      <c r="P29" s="72"/>
      <c r="Q29" s="73"/>
      <c r="R29" s="72"/>
      <c r="S29" s="73"/>
      <c r="T29" s="72"/>
      <c r="U29" s="73"/>
      <c r="V29" s="72"/>
      <c r="W29" s="74"/>
      <c r="X29" s="72"/>
      <c r="Y29" s="75"/>
      <c r="AA29" s="480"/>
      <c r="AD29" s="480"/>
      <c r="AE29" s="480"/>
      <c r="AF29" s="480"/>
      <c r="AG29" s="480"/>
      <c r="AH29" s="480"/>
      <c r="AI29" s="480"/>
      <c r="AJ29" s="480"/>
      <c r="AK29" s="480"/>
      <c r="AL29" s="480"/>
      <c r="AM29" s="480"/>
      <c r="AN29" s="480"/>
      <c r="AO29" s="480"/>
      <c r="AP29" s="480"/>
      <c r="AQ29" s="480"/>
      <c r="AR29" s="480"/>
      <c r="AS29" s="480"/>
      <c r="AT29" s="480"/>
      <c r="AU29" s="480"/>
      <c r="AV29" s="480"/>
      <c r="AW29" s="480"/>
      <c r="AX29" s="480"/>
      <c r="AY29" s="480"/>
      <c r="AZ29" s="480"/>
      <c r="BA29" s="480"/>
      <c r="BB29" s="480"/>
      <c r="BC29" s="480"/>
      <c r="BD29" s="480"/>
      <c r="BE29" s="480"/>
      <c r="BF29" s="480"/>
      <c r="BW29" s="481"/>
      <c r="BX29" s="481"/>
      <c r="BY29" s="481"/>
      <c r="BZ29" s="481"/>
      <c r="CA29" s="481"/>
      <c r="CB29" s="481"/>
      <c r="CC29" s="481"/>
      <c r="CD29" s="481"/>
      <c r="CE29" s="481"/>
      <c r="CF29" s="481"/>
      <c r="CG29" s="481"/>
      <c r="CH29" s="481"/>
      <c r="CI29" s="481"/>
      <c r="CJ29" s="481"/>
      <c r="CK29" s="481"/>
      <c r="CL29" s="481"/>
      <c r="CM29" s="481"/>
      <c r="CN29" s="481"/>
      <c r="CO29" s="481"/>
      <c r="CP29" s="481"/>
      <c r="CQ29" s="481"/>
      <c r="CR29" s="481"/>
      <c r="CS29" s="481"/>
      <c r="CT29" s="481"/>
      <c r="CU29" s="481"/>
      <c r="CV29" s="481"/>
      <c r="CW29" s="481"/>
      <c r="CX29" s="481"/>
      <c r="CY29" s="481"/>
      <c r="CZ29" s="481"/>
      <c r="DA29" s="481"/>
      <c r="DB29" s="481"/>
      <c r="DC29" s="481"/>
      <c r="DD29" s="481"/>
      <c r="DE29" s="481"/>
      <c r="DF29" s="481"/>
      <c r="DG29" s="481"/>
      <c r="DH29" s="481"/>
      <c r="DI29" s="481"/>
      <c r="DJ29" s="481"/>
      <c r="DK29" s="481"/>
      <c r="DL29" s="481"/>
      <c r="DM29" s="481"/>
      <c r="DN29" s="481"/>
      <c r="DO29" s="481"/>
      <c r="DP29" s="481"/>
    </row>
    <row r="30" spans="1:120" ht="15.75" thickBot="1" x14ac:dyDescent="0.3">
      <c r="A30" s="738"/>
      <c r="B30" s="227" t="s">
        <v>211</v>
      </c>
      <c r="C30" s="496">
        <f>'2021-22 ERC'!F127</f>
        <v>0</v>
      </c>
      <c r="D30" s="496">
        <f>'2021-22 ERC'!G127</f>
        <v>0</v>
      </c>
      <c r="E30" s="181">
        <f>SUM(C30:D30)</f>
        <v>0</v>
      </c>
      <c r="F30" s="246">
        <f>J30+L30+N30+P30</f>
        <v>0</v>
      </c>
      <c r="G30" s="246">
        <f>K30+M30+O30+Q30</f>
        <v>0</v>
      </c>
      <c r="H30" s="271">
        <f>SUM(F30:G30)</f>
        <v>0</v>
      </c>
      <c r="I30" s="246">
        <f>IFERROR(H30/E30*100,0)</f>
        <v>0</v>
      </c>
      <c r="J30" s="106"/>
      <c r="K30" s="45"/>
      <c r="L30" s="34"/>
      <c r="M30" s="46"/>
      <c r="N30" s="34"/>
      <c r="O30" s="46"/>
      <c r="P30" s="34"/>
      <c r="Q30" s="46"/>
      <c r="R30" s="77"/>
      <c r="S30" s="78"/>
      <c r="T30" s="77"/>
      <c r="U30" s="78"/>
      <c r="V30" s="77"/>
      <c r="W30" s="79"/>
      <c r="X30" s="77"/>
      <c r="Y30" s="80"/>
      <c r="AA30" s="480"/>
      <c r="AB30" s="480"/>
      <c r="AD30" s="480"/>
      <c r="AE30" s="480"/>
      <c r="AF30" s="480"/>
      <c r="AG30" s="480"/>
      <c r="AH30" s="480"/>
      <c r="AI30" s="480"/>
      <c r="AJ30" s="480"/>
      <c r="AK30" s="480"/>
      <c r="AL30" s="480"/>
      <c r="AM30" s="480"/>
      <c r="AN30" s="480"/>
      <c r="AO30" s="480"/>
      <c r="AP30" s="480"/>
      <c r="AQ30" s="480"/>
      <c r="AR30" s="480"/>
      <c r="AS30" s="480"/>
      <c r="AT30" s="480"/>
      <c r="AU30" s="480"/>
      <c r="AV30" s="480"/>
      <c r="AW30" s="480"/>
      <c r="AX30" s="480"/>
      <c r="AY30" s="480"/>
      <c r="AZ30" s="480"/>
      <c r="BA30" s="480"/>
      <c r="BB30" s="480"/>
      <c r="BC30" s="480"/>
      <c r="BD30" s="480"/>
      <c r="BE30" s="480"/>
      <c r="BF30" s="480"/>
      <c r="BW30" s="481"/>
      <c r="BX30" s="481"/>
      <c r="BY30" s="481"/>
      <c r="BZ30" s="481"/>
      <c r="CA30" s="481"/>
      <c r="CB30" s="481"/>
      <c r="CC30" s="481"/>
      <c r="CD30" s="481"/>
      <c r="CE30" s="481"/>
      <c r="CF30" s="481"/>
      <c r="CG30" s="481"/>
      <c r="CH30" s="481"/>
      <c r="CI30" s="481"/>
      <c r="CJ30" s="481"/>
      <c r="CK30" s="481"/>
      <c r="CL30" s="481"/>
      <c r="CM30" s="481"/>
      <c r="CN30" s="481"/>
      <c r="CO30" s="481"/>
      <c r="CP30" s="481"/>
      <c r="CQ30" s="481"/>
      <c r="CR30" s="481"/>
      <c r="CS30" s="481"/>
      <c r="CT30" s="481"/>
      <c r="CU30" s="481"/>
      <c r="CV30" s="481"/>
      <c r="CW30" s="481"/>
      <c r="CX30" s="481"/>
      <c r="CY30" s="481"/>
      <c r="CZ30" s="481"/>
      <c r="DA30" s="481"/>
      <c r="DB30" s="481"/>
      <c r="DC30" s="481"/>
      <c r="DD30" s="481"/>
      <c r="DE30" s="481"/>
      <c r="DF30" s="481"/>
      <c r="DG30" s="481"/>
      <c r="DH30" s="481"/>
      <c r="DI30" s="481"/>
      <c r="DJ30" s="481"/>
      <c r="DK30" s="481"/>
      <c r="DL30" s="481"/>
      <c r="DM30" s="481"/>
      <c r="DN30" s="481"/>
      <c r="DO30" s="481"/>
      <c r="DP30" s="481"/>
    </row>
    <row r="31" spans="1:120" s="502" customFormat="1" ht="30" customHeight="1" thickBot="1" x14ac:dyDescent="0.3">
      <c r="A31" s="738"/>
      <c r="B31" s="228" t="s">
        <v>212</v>
      </c>
      <c r="C31" s="82" t="s">
        <v>263</v>
      </c>
      <c r="D31" s="82" t="s">
        <v>263</v>
      </c>
      <c r="E31" s="82" t="s">
        <v>263</v>
      </c>
      <c r="F31" s="246">
        <f>J31+L31+N31</f>
        <v>0</v>
      </c>
      <c r="G31" s="246">
        <f>K31+M31+O31</f>
        <v>0</v>
      </c>
      <c r="H31" s="271">
        <f t="shared" ref="H31:H32" si="15">SUM(F31:G31)</f>
        <v>0</v>
      </c>
      <c r="I31" s="246" t="s">
        <v>263</v>
      </c>
      <c r="J31" s="85"/>
      <c r="K31" s="84"/>
      <c r="L31" s="85"/>
      <c r="M31" s="86"/>
      <c r="N31" s="34"/>
      <c r="O31" s="46"/>
      <c r="P31" s="77"/>
      <c r="Q31" s="78"/>
      <c r="R31" s="77"/>
      <c r="S31" s="78"/>
      <c r="T31" s="77"/>
      <c r="U31" s="78"/>
      <c r="V31" s="77"/>
      <c r="W31" s="79"/>
      <c r="X31" s="77"/>
      <c r="Y31" s="80"/>
      <c r="Z31" s="116"/>
      <c r="AA31" s="480"/>
      <c r="AB31" s="480"/>
      <c r="AC31" s="480"/>
      <c r="AD31" s="480"/>
      <c r="AE31" s="480"/>
      <c r="AF31" s="480"/>
      <c r="AG31" s="480"/>
      <c r="AH31" s="480"/>
      <c r="AI31" s="480"/>
      <c r="AJ31" s="480"/>
      <c r="AK31" s="480"/>
      <c r="AL31" s="480"/>
      <c r="AM31" s="480"/>
      <c r="AN31" s="480"/>
      <c r="AO31" s="480"/>
      <c r="AP31" s="480"/>
      <c r="AQ31" s="480"/>
      <c r="AR31" s="480"/>
      <c r="AS31" s="480"/>
      <c r="AT31" s="480"/>
      <c r="AU31" s="480"/>
      <c r="AV31" s="480"/>
      <c r="AW31" s="480"/>
      <c r="AX31" s="480"/>
      <c r="AY31" s="480"/>
      <c r="AZ31" s="480"/>
      <c r="BA31" s="480"/>
      <c r="BB31" s="480"/>
      <c r="BC31" s="480"/>
      <c r="BD31" s="480"/>
      <c r="BE31" s="480"/>
      <c r="BF31" s="480"/>
      <c r="BG31" s="480"/>
      <c r="BH31" s="480"/>
      <c r="BI31" s="480"/>
      <c r="BJ31" s="480"/>
      <c r="BK31" s="480"/>
      <c r="BL31" s="480"/>
      <c r="BM31" s="480"/>
      <c r="BN31" s="480"/>
      <c r="BO31" s="480"/>
      <c r="BP31" s="480"/>
      <c r="BQ31" s="480"/>
      <c r="BR31" s="480"/>
      <c r="BS31" s="480"/>
      <c r="BT31" s="480"/>
      <c r="BU31" s="480"/>
      <c r="BV31" s="480"/>
    </row>
    <row r="32" spans="1:120" ht="15.75" thickBot="1" x14ac:dyDescent="0.3">
      <c r="A32" s="738"/>
      <c r="B32" s="229" t="s">
        <v>213</v>
      </c>
      <c r="C32" s="88" t="s">
        <v>263</v>
      </c>
      <c r="D32" s="88" t="s">
        <v>263</v>
      </c>
      <c r="E32" s="88" t="s">
        <v>263</v>
      </c>
      <c r="F32" s="246">
        <f>N32</f>
        <v>0</v>
      </c>
      <c r="G32" s="246">
        <f>O32</f>
        <v>0</v>
      </c>
      <c r="H32" s="271">
        <f t="shared" si="15"/>
        <v>0</v>
      </c>
      <c r="I32" s="246" t="s">
        <v>263</v>
      </c>
      <c r="J32" s="191"/>
      <c r="K32" s="78"/>
      <c r="L32" s="77"/>
      <c r="M32" s="78"/>
      <c r="N32" s="85"/>
      <c r="O32" s="86"/>
      <c r="P32" s="77"/>
      <c r="Q32" s="78"/>
      <c r="R32" s="77"/>
      <c r="S32" s="78"/>
      <c r="T32" s="77"/>
      <c r="U32" s="78"/>
      <c r="V32" s="77"/>
      <c r="W32" s="79"/>
      <c r="X32" s="77"/>
      <c r="Y32" s="80"/>
      <c r="AA32" s="480"/>
      <c r="AB32" s="480"/>
      <c r="AC32" s="480"/>
      <c r="AD32" s="480"/>
      <c r="AE32" s="480"/>
      <c r="AF32" s="480"/>
      <c r="AG32" s="480"/>
      <c r="AH32" s="480"/>
      <c r="AI32" s="480"/>
      <c r="AJ32" s="480"/>
      <c r="AK32" s="480"/>
      <c r="AL32" s="480"/>
      <c r="AM32" s="480"/>
      <c r="AN32" s="480"/>
      <c r="AO32" s="480"/>
      <c r="AP32" s="480"/>
      <c r="AQ32" s="480"/>
      <c r="AR32" s="480"/>
      <c r="AS32" s="480"/>
      <c r="AT32" s="480"/>
      <c r="AU32" s="480"/>
      <c r="AV32" s="480"/>
      <c r="AW32" s="480"/>
      <c r="AX32" s="480"/>
      <c r="AY32" s="480"/>
      <c r="AZ32" s="480"/>
      <c r="BA32" s="480"/>
      <c r="BB32" s="480"/>
      <c r="BC32" s="480"/>
      <c r="BD32" s="480"/>
      <c r="BE32" s="480"/>
      <c r="BF32" s="480"/>
      <c r="BW32" s="481"/>
      <c r="BX32" s="481"/>
      <c r="BY32" s="481"/>
      <c r="BZ32" s="481"/>
      <c r="CA32" s="481"/>
      <c r="CB32" s="481"/>
      <c r="CC32" s="481"/>
      <c r="CD32" s="481"/>
      <c r="CE32" s="481"/>
      <c r="CF32" s="481"/>
      <c r="CG32" s="481"/>
      <c r="CH32" s="481"/>
      <c r="CI32" s="481"/>
      <c r="CJ32" s="481"/>
      <c r="CK32" s="481"/>
      <c r="CL32" s="481"/>
      <c r="CM32" s="481"/>
      <c r="CN32" s="481"/>
      <c r="CO32" s="481"/>
      <c r="CP32" s="481"/>
      <c r="CQ32" s="481"/>
      <c r="CR32" s="481"/>
      <c r="CS32" s="481"/>
      <c r="CT32" s="481"/>
      <c r="CU32" s="481"/>
      <c r="CV32" s="481"/>
      <c r="CW32" s="481"/>
      <c r="CX32" s="481"/>
      <c r="CY32" s="481"/>
      <c r="CZ32" s="481"/>
      <c r="DA32" s="481"/>
      <c r="DB32" s="481"/>
      <c r="DC32" s="481"/>
      <c r="DD32" s="481"/>
      <c r="DE32" s="481"/>
      <c r="DF32" s="481"/>
      <c r="DG32" s="481"/>
      <c r="DH32" s="481"/>
      <c r="DI32" s="481"/>
      <c r="DJ32" s="481"/>
      <c r="DK32" s="481"/>
      <c r="DL32" s="481"/>
      <c r="DM32" s="481"/>
      <c r="DN32" s="481"/>
      <c r="DO32" s="481"/>
      <c r="DP32" s="481"/>
    </row>
    <row r="33" spans="1:120" ht="20.25" customHeight="1" thickBot="1" x14ac:dyDescent="0.3">
      <c r="A33" s="738"/>
      <c r="B33" s="278" t="s">
        <v>214</v>
      </c>
      <c r="C33" s="89"/>
      <c r="D33" s="89"/>
      <c r="E33" s="89"/>
      <c r="F33" s="69"/>
      <c r="G33" s="69"/>
      <c r="H33" s="69"/>
      <c r="I33" s="69"/>
      <c r="J33" s="70"/>
      <c r="K33" s="71"/>
      <c r="L33" s="72"/>
      <c r="M33" s="73"/>
      <c r="N33" s="72"/>
      <c r="O33" s="73"/>
      <c r="P33" s="72"/>
      <c r="Q33" s="73"/>
      <c r="R33" s="72"/>
      <c r="S33" s="73"/>
      <c r="T33" s="72"/>
      <c r="U33" s="73"/>
      <c r="V33" s="72"/>
      <c r="W33" s="74"/>
      <c r="X33" s="72"/>
      <c r="Y33" s="75"/>
      <c r="AA33" s="480"/>
      <c r="AB33" s="480"/>
      <c r="AC33" s="480"/>
      <c r="AD33" s="480"/>
      <c r="AE33" s="480"/>
      <c r="AF33" s="480"/>
      <c r="AG33" s="480"/>
      <c r="AH33" s="480"/>
      <c r="AI33" s="480"/>
      <c r="AJ33" s="480"/>
      <c r="AK33" s="480"/>
      <c r="AL33" s="480"/>
      <c r="AM33" s="480"/>
      <c r="AN33" s="480"/>
      <c r="AO33" s="480"/>
      <c r="AP33" s="480"/>
      <c r="AQ33" s="480"/>
      <c r="AR33" s="480"/>
      <c r="AS33" s="480"/>
      <c r="AT33" s="480"/>
      <c r="AU33" s="480"/>
      <c r="AV33" s="480"/>
      <c r="AW33" s="480"/>
      <c r="AX33" s="480"/>
      <c r="AY33" s="480"/>
      <c r="AZ33" s="480"/>
      <c r="BA33" s="480"/>
      <c r="BB33" s="480"/>
      <c r="BC33" s="480"/>
      <c r="BD33" s="480"/>
      <c r="BE33" s="480"/>
      <c r="BF33" s="480"/>
      <c r="BW33" s="481"/>
      <c r="BX33" s="481"/>
      <c r="BY33" s="481"/>
      <c r="BZ33" s="481"/>
      <c r="CA33" s="481"/>
      <c r="CB33" s="481"/>
      <c r="CC33" s="481"/>
      <c r="CD33" s="481"/>
      <c r="CE33" s="481"/>
      <c r="CF33" s="481"/>
      <c r="CG33" s="481"/>
      <c r="CH33" s="481"/>
      <c r="CI33" s="481"/>
      <c r="CJ33" s="481"/>
      <c r="CK33" s="481"/>
      <c r="CL33" s="481"/>
      <c r="CM33" s="481"/>
      <c r="CN33" s="481"/>
      <c r="CO33" s="481"/>
      <c r="CP33" s="481"/>
      <c r="CQ33" s="481"/>
      <c r="CR33" s="481"/>
      <c r="CS33" s="481"/>
      <c r="CT33" s="481"/>
      <c r="CU33" s="481"/>
      <c r="CV33" s="481"/>
      <c r="CW33" s="481"/>
      <c r="CX33" s="481"/>
      <c r="CY33" s="481"/>
      <c r="CZ33" s="481"/>
      <c r="DA33" s="481"/>
      <c r="DB33" s="481"/>
      <c r="DC33" s="481"/>
      <c r="DD33" s="481"/>
      <c r="DE33" s="481"/>
      <c r="DF33" s="481"/>
      <c r="DG33" s="481"/>
      <c r="DH33" s="481"/>
      <c r="DI33" s="481"/>
      <c r="DJ33" s="481"/>
      <c r="DK33" s="481"/>
      <c r="DL33" s="481"/>
      <c r="DM33" s="481"/>
      <c r="DN33" s="481"/>
      <c r="DO33" s="481"/>
      <c r="DP33" s="481"/>
    </row>
    <row r="34" spans="1:120" ht="15.75" thickBot="1" x14ac:dyDescent="0.3">
      <c r="A34" s="739"/>
      <c r="B34" s="225" t="s">
        <v>215</v>
      </c>
      <c r="C34" s="503">
        <f>'2021-22 ERC'!F131</f>
        <v>0</v>
      </c>
      <c r="D34" s="503">
        <f>'2021-22 ERC'!G131</f>
        <v>0</v>
      </c>
      <c r="E34" s="180">
        <f>SUM(C34:D34)</f>
        <v>0</v>
      </c>
      <c r="F34" s="246">
        <f>N34+P34</f>
        <v>0</v>
      </c>
      <c r="G34" s="246">
        <f>O34+Q34</f>
        <v>0</v>
      </c>
      <c r="H34" s="271">
        <f>SUM(F34:G34)</f>
        <v>0</v>
      </c>
      <c r="I34" s="246">
        <f>IFERROR(H34/E34*100,0)</f>
        <v>0</v>
      </c>
      <c r="J34" s="191"/>
      <c r="K34" s="78"/>
      <c r="L34" s="77"/>
      <c r="M34" s="78"/>
      <c r="N34" s="34"/>
      <c r="O34" s="46"/>
      <c r="P34" s="34"/>
      <c r="Q34" s="46"/>
      <c r="R34" s="77"/>
      <c r="S34" s="78"/>
      <c r="T34" s="77"/>
      <c r="U34" s="78"/>
      <c r="V34" s="77"/>
      <c r="W34" s="79"/>
      <c r="X34" s="77"/>
      <c r="Y34" s="80"/>
      <c r="AA34" s="480"/>
      <c r="AB34" s="480"/>
      <c r="AC34" s="480"/>
      <c r="AD34" s="480"/>
      <c r="AE34" s="480"/>
      <c r="AF34" s="480"/>
      <c r="AG34" s="480"/>
      <c r="AH34" s="480"/>
      <c r="AI34" s="480"/>
      <c r="AJ34" s="480"/>
      <c r="AK34" s="480"/>
      <c r="AL34" s="480"/>
      <c r="AM34" s="480"/>
      <c r="AN34" s="480"/>
      <c r="AO34" s="480"/>
      <c r="AP34" s="480"/>
      <c r="AQ34" s="480"/>
      <c r="AR34" s="480"/>
      <c r="AS34" s="480"/>
      <c r="AT34" s="480"/>
      <c r="AU34" s="480"/>
      <c r="AV34" s="480"/>
      <c r="AW34" s="480"/>
      <c r="AX34" s="480"/>
      <c r="AY34" s="480"/>
      <c r="AZ34" s="480"/>
      <c r="BA34" s="480"/>
      <c r="BB34" s="480"/>
      <c r="BC34" s="480"/>
      <c r="BD34" s="480"/>
      <c r="BE34" s="480"/>
      <c r="BF34" s="480"/>
      <c r="BW34" s="481"/>
      <c r="BX34" s="481"/>
      <c r="BY34" s="481"/>
      <c r="BZ34" s="481"/>
      <c r="CA34" s="481"/>
      <c r="CB34" s="481"/>
      <c r="CC34" s="481"/>
      <c r="CD34" s="481"/>
      <c r="CE34" s="481"/>
      <c r="CF34" s="481"/>
      <c r="CG34" s="481"/>
      <c r="CH34" s="481"/>
      <c r="CI34" s="481"/>
      <c r="CJ34" s="481"/>
      <c r="CK34" s="481"/>
      <c r="CL34" s="481"/>
      <c r="CM34" s="481"/>
      <c r="CN34" s="481"/>
      <c r="CO34" s="481"/>
      <c r="CP34" s="481"/>
      <c r="CQ34" s="481"/>
      <c r="CR34" s="481"/>
      <c r="CS34" s="481"/>
      <c r="CT34" s="481"/>
      <c r="CU34" s="481"/>
      <c r="CV34" s="481"/>
      <c r="CW34" s="481"/>
      <c r="CX34" s="481"/>
      <c r="CY34" s="481"/>
      <c r="CZ34" s="481"/>
      <c r="DA34" s="481"/>
      <c r="DB34" s="481"/>
      <c r="DC34" s="481"/>
      <c r="DD34" s="481"/>
      <c r="DE34" s="481"/>
      <c r="DF34" s="481"/>
      <c r="DG34" s="481"/>
      <c r="DH34" s="481"/>
      <c r="DI34" s="481"/>
      <c r="DJ34" s="481"/>
      <c r="DK34" s="481"/>
      <c r="DL34" s="481"/>
      <c r="DM34" s="481"/>
      <c r="DN34" s="481"/>
      <c r="DO34" s="481"/>
      <c r="DP34" s="481"/>
    </row>
    <row r="35" spans="1:120" ht="15.75" thickBot="1" x14ac:dyDescent="0.3">
      <c r="A35" s="739"/>
      <c r="B35" s="226" t="s">
        <v>216</v>
      </c>
      <c r="C35" s="503">
        <f>'2021-22 ERC'!F132</f>
        <v>0</v>
      </c>
      <c r="D35" s="503">
        <f>'2021-22 ERC'!G132</f>
        <v>0</v>
      </c>
      <c r="E35" s="180">
        <f>SUM(C35:D35)</f>
        <v>0</v>
      </c>
      <c r="F35" s="254">
        <f>R35+T35</f>
        <v>0</v>
      </c>
      <c r="G35" s="254">
        <f>S35+U35</f>
        <v>0</v>
      </c>
      <c r="H35" s="271">
        <f>SUM(F35:G35)</f>
        <v>0</v>
      </c>
      <c r="I35" s="246">
        <f>IFERROR(H35/E35*100,0)</f>
        <v>0</v>
      </c>
      <c r="J35" s="192"/>
      <c r="K35" s="93"/>
      <c r="L35" s="92"/>
      <c r="M35" s="93"/>
      <c r="N35" s="92"/>
      <c r="O35" s="93"/>
      <c r="P35" s="92"/>
      <c r="Q35" s="93"/>
      <c r="R35" s="94"/>
      <c r="S35" s="78"/>
      <c r="T35" s="94"/>
      <c r="U35" s="78"/>
      <c r="V35" s="92"/>
      <c r="W35" s="95"/>
      <c r="X35" s="92"/>
      <c r="Y35" s="96"/>
      <c r="AA35" s="480"/>
      <c r="AB35" s="480"/>
      <c r="AC35" s="480"/>
      <c r="AD35" s="480"/>
      <c r="AE35" s="480"/>
      <c r="AF35" s="480"/>
      <c r="AG35" s="480"/>
      <c r="AH35" s="480"/>
      <c r="AI35" s="480"/>
      <c r="AJ35" s="480"/>
      <c r="AK35" s="480"/>
      <c r="AL35" s="480"/>
      <c r="AM35" s="480"/>
      <c r="AN35" s="480"/>
      <c r="AO35" s="480"/>
      <c r="AP35" s="480"/>
      <c r="AQ35" s="480"/>
      <c r="AR35" s="480"/>
      <c r="AS35" s="480"/>
      <c r="AT35" s="480"/>
      <c r="AU35" s="480"/>
      <c r="AV35" s="480"/>
      <c r="AW35" s="480"/>
      <c r="AX35" s="480"/>
      <c r="AY35" s="480"/>
      <c r="AZ35" s="480"/>
      <c r="BA35" s="480"/>
      <c r="BB35" s="480"/>
      <c r="BC35" s="480"/>
      <c r="BD35" s="480"/>
      <c r="BE35" s="480"/>
      <c r="BF35" s="480"/>
      <c r="BW35" s="481"/>
      <c r="BX35" s="481"/>
      <c r="BY35" s="481"/>
      <c r="BZ35" s="481"/>
      <c r="CA35" s="481"/>
      <c r="CB35" s="481"/>
      <c r="CC35" s="481"/>
      <c r="CD35" s="481"/>
      <c r="CE35" s="481"/>
      <c r="CF35" s="481"/>
      <c r="CG35" s="481"/>
      <c r="CH35" s="481"/>
      <c r="CI35" s="481"/>
      <c r="CJ35" s="481"/>
      <c r="CK35" s="481"/>
      <c r="CL35" s="481"/>
      <c r="CM35" s="481"/>
      <c r="CN35" s="481"/>
      <c r="CO35" s="481"/>
      <c r="CP35" s="481"/>
      <c r="CQ35" s="481"/>
      <c r="CR35" s="481"/>
      <c r="CS35" s="481"/>
      <c r="CT35" s="481"/>
      <c r="CU35" s="481"/>
      <c r="CV35" s="481"/>
      <c r="CW35" s="481"/>
      <c r="CX35" s="481"/>
      <c r="CY35" s="481"/>
      <c r="CZ35" s="481"/>
      <c r="DA35" s="481"/>
      <c r="DB35" s="481"/>
      <c r="DC35" s="481"/>
      <c r="DD35" s="481"/>
      <c r="DE35" s="481"/>
      <c r="DF35" s="481"/>
      <c r="DG35" s="481"/>
      <c r="DH35" s="481"/>
      <c r="DI35" s="481"/>
      <c r="DJ35" s="481"/>
      <c r="DK35" s="481"/>
      <c r="DL35" s="481"/>
      <c r="DM35" s="481"/>
      <c r="DN35" s="481"/>
      <c r="DO35" s="481"/>
      <c r="DP35" s="481"/>
    </row>
    <row r="36" spans="1:120" ht="48.75" customHeight="1" thickTop="1" thickBot="1" x14ac:dyDescent="0.3">
      <c r="A36" s="862" t="s">
        <v>217</v>
      </c>
      <c r="B36" s="863"/>
      <c r="C36" s="137">
        <f>SUM(C27:C35)</f>
        <v>2</v>
      </c>
      <c r="D36" s="137">
        <f t="shared" ref="D36:E36" si="16">SUM(D27:D35)</f>
        <v>0</v>
      </c>
      <c r="E36" s="137">
        <f t="shared" si="16"/>
        <v>2</v>
      </c>
      <c r="F36" s="248">
        <f>SUM(F27:F35)</f>
        <v>2</v>
      </c>
      <c r="G36" s="273">
        <f>SUM(G27:G35)</f>
        <v>0</v>
      </c>
      <c r="H36" s="271">
        <f>SUM(F36:G36)</f>
        <v>2</v>
      </c>
      <c r="I36" s="246">
        <f>IFERROR(H36/E36*100,0)</f>
        <v>100</v>
      </c>
      <c r="J36" s="249">
        <f>SUM(J27:J35)</f>
        <v>0</v>
      </c>
      <c r="K36" s="250">
        <f t="shared" ref="K36:Y36" si="17">SUM(K27:K35)</f>
        <v>0</v>
      </c>
      <c r="L36" s="250">
        <f t="shared" si="17"/>
        <v>0</v>
      </c>
      <c r="M36" s="250">
        <f t="shared" si="17"/>
        <v>0</v>
      </c>
      <c r="N36" s="250">
        <f>SUM(N27:N35)</f>
        <v>1</v>
      </c>
      <c r="O36" s="250">
        <f t="shared" si="17"/>
        <v>0</v>
      </c>
      <c r="P36" s="250">
        <f t="shared" si="17"/>
        <v>1</v>
      </c>
      <c r="Q36" s="250">
        <f t="shared" si="17"/>
        <v>0</v>
      </c>
      <c r="R36" s="250">
        <f t="shared" si="17"/>
        <v>0</v>
      </c>
      <c r="S36" s="250">
        <f t="shared" si="17"/>
        <v>0</v>
      </c>
      <c r="T36" s="250">
        <f>SUM(T27:T35)</f>
        <v>0</v>
      </c>
      <c r="U36" s="250">
        <f t="shared" si="17"/>
        <v>0</v>
      </c>
      <c r="V36" s="250">
        <f t="shared" si="17"/>
        <v>0</v>
      </c>
      <c r="W36" s="251">
        <f t="shared" si="17"/>
        <v>0</v>
      </c>
      <c r="X36" s="252">
        <f>SUM(X27:X35)</f>
        <v>0</v>
      </c>
      <c r="Y36" s="253">
        <f t="shared" si="17"/>
        <v>0</v>
      </c>
      <c r="BF36" s="480"/>
      <c r="DP36" s="481"/>
    </row>
    <row r="37" spans="1:120" x14ac:dyDescent="0.25">
      <c r="BC37" s="480"/>
      <c r="BD37" s="480"/>
      <c r="BE37" s="480"/>
      <c r="BF37" s="480"/>
      <c r="DM37" s="481"/>
      <c r="DN37" s="481"/>
      <c r="DO37" s="481"/>
      <c r="DP37" s="481"/>
    </row>
    <row r="38" spans="1:120" ht="15.75" thickBot="1" x14ac:dyDescent="0.3">
      <c r="BC38" s="480"/>
      <c r="BD38" s="480"/>
      <c r="BE38" s="480"/>
      <c r="BF38" s="480"/>
      <c r="DM38" s="481"/>
      <c r="DN38" s="481"/>
      <c r="DO38" s="481"/>
      <c r="DP38" s="481"/>
    </row>
    <row r="39" spans="1:120" s="488" customFormat="1" ht="61.5" customHeight="1" x14ac:dyDescent="0.25">
      <c r="A39" s="876" t="s">
        <v>264</v>
      </c>
      <c r="B39" s="877"/>
      <c r="C39" s="882" t="s">
        <v>265</v>
      </c>
      <c r="D39" s="883"/>
      <c r="E39" s="884"/>
      <c r="F39" s="711" t="s">
        <v>266</v>
      </c>
      <c r="G39" s="712"/>
      <c r="H39" s="712"/>
      <c r="I39" s="885" t="s">
        <v>267</v>
      </c>
      <c r="J39" s="714" t="s">
        <v>182</v>
      </c>
      <c r="K39" s="715"/>
      <c r="L39" s="716" t="s">
        <v>183</v>
      </c>
      <c r="M39" s="717"/>
      <c r="N39" s="718" t="s">
        <v>184</v>
      </c>
      <c r="O39" s="715"/>
      <c r="P39" s="718" t="s">
        <v>185</v>
      </c>
      <c r="Q39" s="715"/>
      <c r="R39" s="725" t="s">
        <v>186</v>
      </c>
      <c r="S39" s="726"/>
      <c r="T39" s="725" t="s">
        <v>187</v>
      </c>
      <c r="U39" s="726"/>
      <c r="V39" s="725" t="s">
        <v>188</v>
      </c>
      <c r="W39" s="716"/>
      <c r="X39" s="725" t="s">
        <v>189</v>
      </c>
      <c r="Y39" s="727"/>
      <c r="Z39" s="116"/>
      <c r="AA39" s="487"/>
      <c r="AB39" s="487"/>
      <c r="AC39" s="487"/>
      <c r="AD39" s="487"/>
      <c r="AE39" s="487"/>
      <c r="AF39" s="487"/>
      <c r="AG39" s="487"/>
      <c r="AH39" s="487"/>
      <c r="AI39" s="487"/>
      <c r="AJ39" s="487"/>
      <c r="AK39" s="487"/>
      <c r="AL39" s="487"/>
      <c r="AM39" s="487"/>
      <c r="AN39" s="487"/>
      <c r="AO39" s="487"/>
      <c r="AP39" s="487"/>
      <c r="AQ39" s="487"/>
      <c r="AR39" s="487"/>
      <c r="AS39" s="487"/>
      <c r="AT39" s="487"/>
      <c r="AU39" s="487"/>
      <c r="AV39" s="487"/>
      <c r="AW39" s="487"/>
      <c r="AX39" s="487"/>
      <c r="AY39" s="487"/>
      <c r="AZ39" s="487"/>
      <c r="BA39" s="487"/>
      <c r="BB39" s="487"/>
      <c r="BC39" s="487"/>
      <c r="BD39" s="487"/>
      <c r="BE39" s="487"/>
      <c r="BF39" s="487"/>
      <c r="BG39" s="487"/>
      <c r="BH39" s="487"/>
      <c r="BI39" s="487"/>
      <c r="BJ39" s="487"/>
      <c r="BK39" s="487"/>
      <c r="BL39" s="487"/>
      <c r="BM39" s="487"/>
      <c r="BN39" s="487"/>
      <c r="BO39" s="487"/>
      <c r="BP39" s="487"/>
      <c r="BQ39" s="487"/>
      <c r="BR39" s="487"/>
      <c r="BS39" s="487"/>
      <c r="BT39" s="487"/>
      <c r="BU39" s="487"/>
      <c r="BV39" s="487"/>
    </row>
    <row r="40" spans="1:120" s="488" customFormat="1" ht="15.75" customHeight="1" x14ac:dyDescent="0.25">
      <c r="A40" s="878"/>
      <c r="B40" s="879"/>
      <c r="C40" s="873" t="s">
        <v>192</v>
      </c>
      <c r="D40" s="874"/>
      <c r="E40" s="875"/>
      <c r="F40" s="719" t="s">
        <v>192</v>
      </c>
      <c r="G40" s="728"/>
      <c r="H40" s="730"/>
      <c r="I40" s="886"/>
      <c r="J40" s="728" t="s">
        <v>192</v>
      </c>
      <c r="K40" s="720"/>
      <c r="L40" s="719" t="s">
        <v>192</v>
      </c>
      <c r="M40" s="720"/>
      <c r="N40" s="719" t="s">
        <v>192</v>
      </c>
      <c r="O40" s="720"/>
      <c r="P40" s="719" t="s">
        <v>192</v>
      </c>
      <c r="Q40" s="720"/>
      <c r="R40" s="721" t="s">
        <v>192</v>
      </c>
      <c r="S40" s="733"/>
      <c r="T40" s="721" t="s">
        <v>192</v>
      </c>
      <c r="U40" s="733"/>
      <c r="V40" s="721" t="s">
        <v>192</v>
      </c>
      <c r="W40" s="734"/>
      <c r="X40" s="721" t="s">
        <v>192</v>
      </c>
      <c r="Y40" s="722"/>
      <c r="Z40" s="116"/>
      <c r="AA40" s="487"/>
      <c r="AB40" s="487"/>
      <c r="AC40" s="487"/>
      <c r="AD40" s="487"/>
      <c r="AE40" s="487"/>
      <c r="AF40" s="487"/>
      <c r="AG40" s="487"/>
      <c r="AH40" s="487"/>
      <c r="AI40" s="487"/>
      <c r="AJ40" s="487"/>
      <c r="AK40" s="487"/>
      <c r="AL40" s="487"/>
      <c r="AM40" s="487"/>
      <c r="AN40" s="487"/>
      <c r="AO40" s="487"/>
      <c r="AP40" s="487"/>
      <c r="AQ40" s="487"/>
      <c r="AR40" s="487"/>
      <c r="AS40" s="487"/>
      <c r="AT40" s="487"/>
      <c r="AU40" s="487"/>
      <c r="AV40" s="487"/>
      <c r="AW40" s="487"/>
      <c r="AX40" s="487"/>
      <c r="AY40" s="487"/>
      <c r="AZ40" s="487"/>
      <c r="BA40" s="487"/>
      <c r="BB40" s="487"/>
      <c r="BC40" s="487"/>
      <c r="BD40" s="487"/>
      <c r="BE40" s="487"/>
      <c r="BF40" s="487"/>
      <c r="BG40" s="487"/>
      <c r="BH40" s="487"/>
      <c r="BI40" s="487"/>
      <c r="BJ40" s="487"/>
      <c r="BK40" s="487"/>
      <c r="BL40" s="487"/>
      <c r="BM40" s="487"/>
      <c r="BN40" s="487"/>
      <c r="BO40" s="487"/>
      <c r="BP40" s="487"/>
      <c r="BQ40" s="487"/>
      <c r="BR40" s="487"/>
      <c r="BS40" s="487"/>
      <c r="BT40" s="487"/>
      <c r="BU40" s="487"/>
      <c r="BV40" s="487"/>
    </row>
    <row r="41" spans="1:120" s="488" customFormat="1" ht="15.75" thickBot="1" x14ac:dyDescent="0.3">
      <c r="A41" s="880"/>
      <c r="B41" s="881"/>
      <c r="C41" s="128" t="s">
        <v>158</v>
      </c>
      <c r="D41" s="134" t="s">
        <v>156</v>
      </c>
      <c r="E41" s="184" t="s">
        <v>193</v>
      </c>
      <c r="F41" s="31" t="s">
        <v>158</v>
      </c>
      <c r="G41" s="179" t="s">
        <v>156</v>
      </c>
      <c r="H41" s="121" t="s">
        <v>193</v>
      </c>
      <c r="I41" s="887"/>
      <c r="J41" s="218" t="s">
        <v>158</v>
      </c>
      <c r="K41" s="219" t="s">
        <v>156</v>
      </c>
      <c r="L41" s="31" t="s">
        <v>158</v>
      </c>
      <c r="M41" s="219" t="s">
        <v>156</v>
      </c>
      <c r="N41" s="31" t="s">
        <v>158</v>
      </c>
      <c r="O41" s="219" t="s">
        <v>156</v>
      </c>
      <c r="P41" s="31" t="s">
        <v>158</v>
      </c>
      <c r="Q41" s="219" t="s">
        <v>156</v>
      </c>
      <c r="R41" s="220" t="s">
        <v>158</v>
      </c>
      <c r="S41" s="221" t="s">
        <v>156</v>
      </c>
      <c r="T41" s="220" t="s">
        <v>158</v>
      </c>
      <c r="U41" s="222" t="s">
        <v>156</v>
      </c>
      <c r="V41" s="220" t="s">
        <v>158</v>
      </c>
      <c r="W41" s="223" t="s">
        <v>156</v>
      </c>
      <c r="X41" s="220" t="s">
        <v>158</v>
      </c>
      <c r="Y41" s="224" t="s">
        <v>156</v>
      </c>
      <c r="Z41" s="116"/>
      <c r="AA41" s="487"/>
      <c r="AB41" s="487"/>
      <c r="AC41" s="487"/>
      <c r="AD41" s="487"/>
      <c r="AE41" s="487"/>
      <c r="AF41" s="487"/>
      <c r="AG41" s="487"/>
      <c r="AH41" s="487"/>
      <c r="AI41" s="487"/>
      <c r="AJ41" s="487"/>
      <c r="AK41" s="487"/>
      <c r="AL41" s="487"/>
      <c r="AM41" s="487"/>
      <c r="AN41" s="487"/>
      <c r="AO41" s="487"/>
      <c r="AP41" s="487"/>
      <c r="AQ41" s="487"/>
      <c r="AR41" s="487"/>
      <c r="AS41" s="487"/>
      <c r="AT41" s="487"/>
      <c r="AU41" s="487"/>
      <c r="AV41" s="487"/>
      <c r="AW41" s="487"/>
      <c r="AX41" s="487"/>
      <c r="AY41" s="487"/>
      <c r="AZ41" s="487"/>
      <c r="BA41" s="487"/>
      <c r="BB41" s="487"/>
      <c r="BC41" s="487"/>
      <c r="BD41" s="487"/>
      <c r="BE41" s="487"/>
      <c r="BF41" s="487"/>
      <c r="BG41" s="487"/>
      <c r="BH41" s="487"/>
      <c r="BI41" s="487"/>
      <c r="BJ41" s="487"/>
      <c r="BK41" s="487"/>
      <c r="BL41" s="487"/>
      <c r="BM41" s="487"/>
      <c r="BN41" s="487"/>
      <c r="BO41" s="487"/>
      <c r="BP41" s="487"/>
      <c r="BQ41" s="487"/>
      <c r="BR41" s="487"/>
      <c r="BS41" s="487"/>
      <c r="BT41" s="487"/>
      <c r="BU41" s="487"/>
      <c r="BV41" s="487"/>
    </row>
    <row r="42" spans="1:120" s="488" customFormat="1" ht="58.5" customHeight="1" thickBot="1" x14ac:dyDescent="0.3">
      <c r="A42" s="723" t="s">
        <v>195</v>
      </c>
      <c r="B42" s="724"/>
      <c r="C42" s="515">
        <f>'2021-22 ERC'!F140</f>
        <v>0</v>
      </c>
      <c r="D42" s="515">
        <f>'2021-22 ERC'!G140</f>
        <v>8</v>
      </c>
      <c r="E42" s="182">
        <f>SUM(C42:D42)</f>
        <v>8</v>
      </c>
      <c r="F42" s="246">
        <f>J42+L42+N42+P42</f>
        <v>0</v>
      </c>
      <c r="G42" s="246">
        <f>K42+M42+O42+Q42</f>
        <v>8</v>
      </c>
      <c r="H42" s="246">
        <f>SUM(F42:G42)</f>
        <v>8</v>
      </c>
      <c r="I42" s="275">
        <f>IFERROR(H42/E42*100,0)</f>
        <v>100</v>
      </c>
      <c r="J42" s="106"/>
      <c r="K42" s="33"/>
      <c r="L42" s="34"/>
      <c r="M42" s="35"/>
      <c r="N42" s="36"/>
      <c r="O42" s="37">
        <v>6</v>
      </c>
      <c r="P42" s="34"/>
      <c r="Q42" s="35">
        <v>2</v>
      </c>
      <c r="R42" s="38"/>
      <c r="S42" s="39"/>
      <c r="T42" s="38"/>
      <c r="U42" s="39"/>
      <c r="V42" s="38"/>
      <c r="W42" s="40"/>
      <c r="X42" s="38"/>
      <c r="Y42" s="41"/>
      <c r="Z42" s="116"/>
      <c r="AA42" s="487"/>
      <c r="AB42" s="487"/>
      <c r="AC42" s="487"/>
      <c r="AD42" s="487"/>
      <c r="AE42" s="487"/>
      <c r="AF42" s="487"/>
      <c r="AG42" s="487"/>
      <c r="AH42" s="487"/>
      <c r="AI42" s="487"/>
      <c r="AJ42" s="487"/>
      <c r="AK42" s="487"/>
      <c r="AL42" s="487"/>
      <c r="AM42" s="487"/>
      <c r="AN42" s="487"/>
      <c r="AO42" s="487"/>
      <c r="AP42" s="487"/>
      <c r="AQ42" s="487"/>
      <c r="AR42" s="487"/>
      <c r="AS42" s="487"/>
      <c r="AT42" s="487"/>
      <c r="AU42" s="487"/>
      <c r="AV42" s="487"/>
      <c r="AW42" s="487"/>
      <c r="AX42" s="487"/>
      <c r="AY42" s="487"/>
      <c r="AZ42" s="487"/>
      <c r="BA42" s="487"/>
      <c r="BB42" s="487"/>
      <c r="BC42" s="487"/>
      <c r="BD42" s="487"/>
      <c r="BE42" s="487"/>
      <c r="BF42" s="487"/>
      <c r="BG42" s="487"/>
      <c r="BH42" s="487"/>
      <c r="BI42" s="487"/>
      <c r="BJ42" s="487"/>
      <c r="BK42" s="487"/>
      <c r="BL42" s="487"/>
      <c r="BM42" s="487"/>
      <c r="BN42" s="487"/>
      <c r="BO42" s="487"/>
      <c r="BP42" s="487"/>
      <c r="BQ42" s="487"/>
      <c r="BR42" s="487"/>
      <c r="BS42" s="487"/>
      <c r="BT42" s="487"/>
      <c r="BU42" s="487"/>
      <c r="BV42" s="487"/>
    </row>
    <row r="43" spans="1:120" s="488" customFormat="1" ht="62.25" customHeight="1" thickBot="1" x14ac:dyDescent="0.3">
      <c r="A43" s="748" t="s">
        <v>196</v>
      </c>
      <c r="B43" s="749"/>
      <c r="C43" s="515">
        <f>'2021-22 ERC'!F141</f>
        <v>0</v>
      </c>
      <c r="D43" s="515">
        <f>'2021-22 ERC'!G141</f>
        <v>0</v>
      </c>
      <c r="E43" s="182">
        <f>SUM(C43:D43)</f>
        <v>0</v>
      </c>
      <c r="F43" s="246">
        <f>R43+T43+V43+X43</f>
        <v>0</v>
      </c>
      <c r="G43" s="246">
        <f>S43+U43+W43+Y43</f>
        <v>0</v>
      </c>
      <c r="H43" s="271">
        <f t="shared" ref="H43" si="18">SUM(F43:G43)</f>
        <v>0</v>
      </c>
      <c r="I43" s="275">
        <f t="shared" ref="I43:I57" si="19">IFERROR(H43/E43*100,0)</f>
        <v>0</v>
      </c>
      <c r="J43" s="42"/>
      <c r="K43" s="43"/>
      <c r="L43" s="44"/>
      <c r="M43" s="43"/>
      <c r="N43" s="44"/>
      <c r="O43" s="43"/>
      <c r="P43" s="44"/>
      <c r="Q43" s="43"/>
      <c r="R43" s="32"/>
      <c r="S43" s="45"/>
      <c r="T43" s="46"/>
      <c r="U43" s="46"/>
      <c r="V43" s="46"/>
      <c r="W43" s="46"/>
      <c r="X43" s="46"/>
      <c r="Y43" s="35"/>
      <c r="Z43" s="116"/>
      <c r="AA43" s="487"/>
      <c r="AB43" s="487"/>
      <c r="AC43" s="487"/>
      <c r="AD43" s="487"/>
      <c r="AE43" s="487"/>
      <c r="AF43" s="487"/>
      <c r="AG43" s="487"/>
      <c r="AH43" s="487"/>
      <c r="AI43" s="487"/>
      <c r="AJ43" s="487"/>
      <c r="AK43" s="487"/>
      <c r="AL43" s="487"/>
      <c r="AM43" s="487"/>
      <c r="AN43" s="487"/>
      <c r="AO43" s="487"/>
      <c r="AP43" s="487"/>
      <c r="AQ43" s="487"/>
      <c r="AR43" s="487"/>
      <c r="AS43" s="487"/>
      <c r="AT43" s="487"/>
      <c r="AU43" s="487"/>
      <c r="AV43" s="487"/>
      <c r="AW43" s="487"/>
      <c r="AX43" s="487"/>
      <c r="AY43" s="487"/>
      <c r="AZ43" s="487"/>
      <c r="BA43" s="487"/>
      <c r="BB43" s="487"/>
      <c r="BC43" s="487"/>
      <c r="BD43" s="487"/>
      <c r="BE43" s="487"/>
      <c r="BF43" s="487"/>
      <c r="BG43" s="487"/>
      <c r="BH43" s="487"/>
      <c r="BI43" s="487"/>
      <c r="BJ43" s="487"/>
      <c r="BK43" s="487"/>
      <c r="BL43" s="487"/>
      <c r="BM43" s="487"/>
      <c r="BN43" s="487"/>
      <c r="BO43" s="487"/>
      <c r="BP43" s="487"/>
      <c r="BQ43" s="487"/>
      <c r="BR43" s="487"/>
      <c r="BS43" s="487"/>
      <c r="BT43" s="487"/>
      <c r="BU43" s="487"/>
      <c r="BV43" s="487"/>
    </row>
    <row r="44" spans="1:120" s="488" customFormat="1" ht="15.75" thickBot="1" x14ac:dyDescent="0.3">
      <c r="A44" s="750" t="s">
        <v>197</v>
      </c>
      <c r="B44" s="59" t="s">
        <v>198</v>
      </c>
      <c r="C44" s="515">
        <f>'2021-22 ERC'!F142</f>
        <v>0</v>
      </c>
      <c r="D44" s="515">
        <f>'2021-22 ERC'!G142</f>
        <v>0</v>
      </c>
      <c r="E44" s="182">
        <f t="shared" ref="E44" si="20">SUM(C44:D44)</f>
        <v>0</v>
      </c>
      <c r="F44" s="246">
        <f>J44+L44+N44+P44+R44+T44+V44+X44</f>
        <v>0</v>
      </c>
      <c r="G44" s="246">
        <f>K44+M44+O44+Q44+S44+U44+W44+Y44</f>
        <v>0</v>
      </c>
      <c r="H44" s="271">
        <f>SUM(F44:G44)</f>
        <v>0</v>
      </c>
      <c r="I44" s="275">
        <f t="shared" si="19"/>
        <v>0</v>
      </c>
      <c r="J44" s="106"/>
      <c r="K44" s="33"/>
      <c r="L44" s="34"/>
      <c r="M44" s="35"/>
      <c r="N44" s="36"/>
      <c r="O44" s="37"/>
      <c r="P44" s="34"/>
      <c r="Q44" s="35"/>
      <c r="R44" s="32"/>
      <c r="S44" s="45"/>
      <c r="T44" s="46"/>
      <c r="U44" s="46"/>
      <c r="V44" s="46"/>
      <c r="W44" s="46"/>
      <c r="X44" s="46"/>
      <c r="Y44" s="35"/>
      <c r="Z44" s="116"/>
      <c r="AA44" s="487"/>
      <c r="AB44" s="487"/>
      <c r="AC44" s="487"/>
      <c r="AD44" s="487"/>
      <c r="AE44" s="487"/>
      <c r="AF44" s="487"/>
      <c r="AG44" s="487"/>
      <c r="AH44" s="487"/>
      <c r="AI44" s="487"/>
      <c r="AJ44" s="487"/>
      <c r="AK44" s="487"/>
      <c r="AL44" s="487"/>
      <c r="AM44" s="487"/>
      <c r="AN44" s="487"/>
      <c r="AO44" s="487"/>
      <c r="AP44" s="487"/>
      <c r="AQ44" s="487"/>
      <c r="AR44" s="487"/>
      <c r="AS44" s="487"/>
      <c r="AT44" s="487"/>
      <c r="AU44" s="487"/>
      <c r="AV44" s="487"/>
      <c r="AW44" s="487"/>
      <c r="AX44" s="487"/>
      <c r="AY44" s="487"/>
      <c r="AZ44" s="487"/>
      <c r="BA44" s="487"/>
      <c r="BB44" s="487"/>
      <c r="BC44" s="487"/>
      <c r="BD44" s="487"/>
      <c r="BE44" s="487"/>
      <c r="BF44" s="487"/>
      <c r="BG44" s="487"/>
      <c r="BH44" s="487"/>
      <c r="BI44" s="487"/>
      <c r="BJ44" s="487"/>
      <c r="BK44" s="487"/>
      <c r="BL44" s="487"/>
      <c r="BM44" s="487"/>
      <c r="BN44" s="487"/>
      <c r="BO44" s="487"/>
      <c r="BP44" s="487"/>
      <c r="BQ44" s="487"/>
      <c r="BR44" s="487"/>
      <c r="BS44" s="487"/>
      <c r="BT44" s="487"/>
      <c r="BU44" s="487"/>
      <c r="BV44" s="487"/>
    </row>
    <row r="45" spans="1:120" s="488" customFormat="1" ht="15.75" thickBot="1" x14ac:dyDescent="0.3">
      <c r="A45" s="751"/>
      <c r="B45" s="60" t="s">
        <v>262</v>
      </c>
      <c r="C45" s="515">
        <f>'2021-22 ERC'!F143</f>
        <v>0</v>
      </c>
      <c r="D45" s="515">
        <f>'2021-22 ERC'!G143</f>
        <v>0</v>
      </c>
      <c r="E45" s="182">
        <f t="shared" ref="E45:E53" si="21">SUM(C45:D45)</f>
        <v>0</v>
      </c>
      <c r="F45" s="246">
        <f>J45+L45+N45+P45+R45+T45+V45+X45</f>
        <v>0</v>
      </c>
      <c r="G45" s="246">
        <f>K45+M45+O45+Q45+S45+U45+W45+Y45</f>
        <v>0</v>
      </c>
      <c r="H45" s="271">
        <f>SUM(F45:G45)</f>
        <v>0</v>
      </c>
      <c r="I45" s="275">
        <f t="shared" si="19"/>
        <v>0</v>
      </c>
      <c r="J45" s="106"/>
      <c r="K45" s="33"/>
      <c r="L45" s="34"/>
      <c r="M45" s="35"/>
      <c r="N45" s="36"/>
      <c r="O45" s="37"/>
      <c r="P45" s="34"/>
      <c r="Q45" s="35"/>
      <c r="R45" s="32"/>
      <c r="S45" s="45"/>
      <c r="T45" s="46"/>
      <c r="U45" s="46"/>
      <c r="V45" s="46"/>
      <c r="W45" s="46"/>
      <c r="X45" s="46"/>
      <c r="Y45" s="35"/>
      <c r="Z45" s="116"/>
      <c r="AA45" s="487"/>
      <c r="AB45" s="487"/>
      <c r="AC45" s="487"/>
      <c r="AD45" s="487"/>
      <c r="AE45" s="487"/>
      <c r="AF45" s="487"/>
      <c r="AG45" s="487"/>
      <c r="AH45" s="487"/>
      <c r="AI45" s="487"/>
      <c r="AJ45" s="487"/>
      <c r="AK45" s="487"/>
      <c r="AL45" s="487"/>
      <c r="AM45" s="487"/>
      <c r="AN45" s="487"/>
      <c r="AO45" s="487"/>
      <c r="AP45" s="487"/>
      <c r="AQ45" s="487"/>
      <c r="AR45" s="487"/>
      <c r="AS45" s="487"/>
      <c r="AT45" s="487"/>
      <c r="AU45" s="487"/>
      <c r="AV45" s="487"/>
      <c r="AW45" s="487"/>
      <c r="AX45" s="487"/>
      <c r="AY45" s="487"/>
      <c r="AZ45" s="487"/>
      <c r="BA45" s="487"/>
      <c r="BB45" s="487"/>
      <c r="BC45" s="487"/>
      <c r="BD45" s="487"/>
      <c r="BE45" s="487"/>
      <c r="BF45" s="487"/>
      <c r="BG45" s="487"/>
      <c r="BH45" s="487"/>
      <c r="BI45" s="487"/>
      <c r="BJ45" s="487"/>
      <c r="BK45" s="487"/>
      <c r="BL45" s="487"/>
      <c r="BM45" s="487"/>
      <c r="BN45" s="487"/>
      <c r="BO45" s="487"/>
      <c r="BP45" s="487"/>
      <c r="BQ45" s="487"/>
      <c r="BR45" s="487"/>
      <c r="BS45" s="487"/>
      <c r="BT45" s="487"/>
      <c r="BU45" s="487"/>
      <c r="BV45" s="487"/>
    </row>
    <row r="46" spans="1:120" s="488" customFormat="1" ht="15.75" thickBot="1" x14ac:dyDescent="0.3">
      <c r="A46" s="752" t="s">
        <v>200</v>
      </c>
      <c r="B46" s="47" t="s">
        <v>201</v>
      </c>
      <c r="C46" s="515">
        <f>'2021-22 ERC'!F144</f>
        <v>0</v>
      </c>
      <c r="D46" s="515">
        <f>'2021-22 ERC'!G144</f>
        <v>0</v>
      </c>
      <c r="E46" s="182">
        <f t="shared" si="21"/>
        <v>0</v>
      </c>
      <c r="F46" s="246">
        <f t="shared" ref="F46:G50" si="22">J46+L46+N46+P46+R46+T46+V46+X46</f>
        <v>0</v>
      </c>
      <c r="G46" s="246">
        <f t="shared" si="22"/>
        <v>0</v>
      </c>
      <c r="H46" s="271">
        <f>SUM(F46:G46)</f>
        <v>0</v>
      </c>
      <c r="I46" s="275">
        <f t="shared" si="19"/>
        <v>0</v>
      </c>
      <c r="J46" s="106"/>
      <c r="K46" s="33"/>
      <c r="L46" s="34"/>
      <c r="M46" s="35"/>
      <c r="N46" s="36"/>
      <c r="O46" s="37"/>
      <c r="P46" s="34"/>
      <c r="Q46" s="35"/>
      <c r="R46" s="32"/>
      <c r="S46" s="45"/>
      <c r="T46" s="46"/>
      <c r="U46" s="46"/>
      <c r="V46" s="46"/>
      <c r="W46" s="46"/>
      <c r="X46" s="46"/>
      <c r="Y46" s="35"/>
      <c r="Z46" s="116"/>
      <c r="AA46" s="487"/>
      <c r="AB46" s="487"/>
      <c r="AC46" s="487"/>
      <c r="AD46" s="487"/>
      <c r="AE46" s="487"/>
      <c r="AF46" s="487"/>
      <c r="AG46" s="487"/>
      <c r="AH46" s="487"/>
      <c r="AI46" s="487"/>
      <c r="AJ46" s="487"/>
      <c r="AK46" s="487"/>
      <c r="AL46" s="487"/>
      <c r="AM46" s="487"/>
      <c r="AN46" s="487"/>
      <c r="AO46" s="487"/>
      <c r="AP46" s="487"/>
      <c r="AQ46" s="487"/>
      <c r="AR46" s="487"/>
      <c r="AS46" s="487"/>
      <c r="AT46" s="487"/>
      <c r="AU46" s="487"/>
      <c r="AV46" s="487"/>
      <c r="AW46" s="487"/>
      <c r="AX46" s="487"/>
      <c r="AY46" s="487"/>
      <c r="AZ46" s="487"/>
      <c r="BA46" s="487"/>
      <c r="BB46" s="487"/>
      <c r="BC46" s="487"/>
      <c r="BD46" s="487"/>
      <c r="BE46" s="487"/>
      <c r="BF46" s="487"/>
      <c r="BG46" s="487"/>
      <c r="BH46" s="487"/>
      <c r="BI46" s="487"/>
      <c r="BJ46" s="487"/>
      <c r="BK46" s="487"/>
      <c r="BL46" s="487"/>
      <c r="BM46" s="487"/>
      <c r="BN46" s="487"/>
      <c r="BO46" s="487"/>
      <c r="BP46" s="487"/>
      <c r="BQ46" s="487"/>
      <c r="BR46" s="487"/>
      <c r="BS46" s="487"/>
      <c r="BT46" s="487"/>
      <c r="BU46" s="487"/>
      <c r="BV46" s="487"/>
    </row>
    <row r="47" spans="1:120" s="488" customFormat="1" ht="30.75" thickBot="1" x14ac:dyDescent="0.3">
      <c r="A47" s="753"/>
      <c r="B47" s="48" t="s">
        <v>133</v>
      </c>
      <c r="C47" s="515">
        <f>'2021-22 ERC'!F145</f>
        <v>0</v>
      </c>
      <c r="D47" s="515">
        <f>'2021-22 ERC'!G145</f>
        <v>0</v>
      </c>
      <c r="E47" s="182">
        <f t="shared" si="21"/>
        <v>0</v>
      </c>
      <c r="F47" s="246">
        <f t="shared" si="22"/>
        <v>0</v>
      </c>
      <c r="G47" s="246">
        <f t="shared" si="22"/>
        <v>0</v>
      </c>
      <c r="H47" s="271">
        <f t="shared" ref="H47" si="23">SUM(F47:G47)</f>
        <v>0</v>
      </c>
      <c r="I47" s="275">
        <f t="shared" si="19"/>
        <v>0</v>
      </c>
      <c r="J47" s="106"/>
      <c r="K47" s="33"/>
      <c r="L47" s="34"/>
      <c r="M47" s="35"/>
      <c r="N47" s="36"/>
      <c r="O47" s="37"/>
      <c r="P47" s="34"/>
      <c r="Q47" s="35"/>
      <c r="R47" s="32"/>
      <c r="S47" s="45"/>
      <c r="T47" s="46"/>
      <c r="U47" s="46"/>
      <c r="V47" s="46"/>
      <c r="W47" s="46"/>
      <c r="X47" s="46"/>
      <c r="Y47" s="35"/>
      <c r="Z47" s="116"/>
      <c r="AA47" s="487"/>
      <c r="AB47" s="487"/>
      <c r="AC47" s="487"/>
      <c r="AD47" s="487"/>
      <c r="AE47" s="487"/>
      <c r="AF47" s="487"/>
      <c r="AG47" s="487"/>
      <c r="AH47" s="487"/>
      <c r="AI47" s="487"/>
      <c r="AJ47" s="487"/>
      <c r="AK47" s="487"/>
      <c r="AL47" s="487"/>
      <c r="AM47" s="487"/>
      <c r="AN47" s="487"/>
      <c r="AO47" s="487"/>
      <c r="AP47" s="487"/>
      <c r="AQ47" s="487"/>
      <c r="AR47" s="487"/>
      <c r="AS47" s="487"/>
      <c r="AT47" s="487"/>
      <c r="AU47" s="487"/>
      <c r="AV47" s="487"/>
      <c r="AW47" s="487"/>
      <c r="AX47" s="487"/>
      <c r="AY47" s="487"/>
      <c r="AZ47" s="487"/>
      <c r="BA47" s="487"/>
      <c r="BB47" s="487"/>
      <c r="BC47" s="487"/>
      <c r="BD47" s="487"/>
      <c r="BE47" s="487"/>
      <c r="BF47" s="487"/>
      <c r="BG47" s="487"/>
      <c r="BH47" s="487"/>
      <c r="BI47" s="487"/>
      <c r="BJ47" s="487"/>
      <c r="BK47" s="487"/>
      <c r="BL47" s="487"/>
      <c r="BM47" s="487"/>
      <c r="BN47" s="487"/>
      <c r="BO47" s="487"/>
      <c r="BP47" s="487"/>
      <c r="BQ47" s="487"/>
      <c r="BR47" s="487"/>
      <c r="BS47" s="487"/>
      <c r="BT47" s="487"/>
      <c r="BU47" s="487"/>
      <c r="BV47" s="487"/>
    </row>
    <row r="48" spans="1:120" s="488" customFormat="1" ht="15.75" thickBot="1" x14ac:dyDescent="0.3">
      <c r="A48" s="753"/>
      <c r="B48" s="49" t="s">
        <v>202</v>
      </c>
      <c r="C48" s="515">
        <f>'2021-22 ERC'!F146</f>
        <v>0</v>
      </c>
      <c r="D48" s="515">
        <f>'2021-22 ERC'!G146</f>
        <v>0</v>
      </c>
      <c r="E48" s="182">
        <f t="shared" si="21"/>
        <v>0</v>
      </c>
      <c r="F48" s="246">
        <f t="shared" si="22"/>
        <v>0</v>
      </c>
      <c r="G48" s="246">
        <f t="shared" si="22"/>
        <v>0</v>
      </c>
      <c r="H48" s="246">
        <f>SUM(F48:G48)</f>
        <v>0</v>
      </c>
      <c r="I48" s="275">
        <f t="shared" si="19"/>
        <v>0</v>
      </c>
      <c r="J48" s="106"/>
      <c r="K48" s="33"/>
      <c r="L48" s="34"/>
      <c r="M48" s="35"/>
      <c r="N48" s="36"/>
      <c r="O48" s="37"/>
      <c r="P48" s="34"/>
      <c r="Q48" s="35"/>
      <c r="R48" s="32"/>
      <c r="S48" s="45"/>
      <c r="T48" s="46"/>
      <c r="U48" s="46"/>
      <c r="V48" s="46"/>
      <c r="W48" s="46"/>
      <c r="X48" s="46"/>
      <c r="Y48" s="35"/>
      <c r="Z48" s="116"/>
      <c r="AA48" s="487"/>
      <c r="AB48" s="487"/>
      <c r="AC48" s="487"/>
      <c r="AD48" s="487"/>
      <c r="AE48" s="487"/>
      <c r="AF48" s="487"/>
      <c r="AG48" s="487"/>
      <c r="AH48" s="487"/>
      <c r="AI48" s="487"/>
      <c r="AJ48" s="487"/>
      <c r="AK48" s="487"/>
      <c r="AL48" s="487"/>
      <c r="AM48" s="487"/>
      <c r="AN48" s="487"/>
      <c r="AO48" s="487"/>
      <c r="AP48" s="487"/>
      <c r="AQ48" s="487"/>
      <c r="AR48" s="487"/>
      <c r="AS48" s="487"/>
      <c r="AT48" s="487"/>
      <c r="AU48" s="487"/>
      <c r="AV48" s="487"/>
      <c r="AW48" s="487"/>
      <c r="AX48" s="487"/>
      <c r="AY48" s="487"/>
      <c r="AZ48" s="487"/>
      <c r="BA48" s="487"/>
      <c r="BB48" s="487"/>
      <c r="BC48" s="487"/>
      <c r="BD48" s="487"/>
      <c r="BE48" s="487"/>
      <c r="BF48" s="487"/>
      <c r="BG48" s="487"/>
      <c r="BH48" s="487"/>
      <c r="BI48" s="487"/>
      <c r="BJ48" s="487"/>
      <c r="BK48" s="487"/>
      <c r="BL48" s="487"/>
      <c r="BM48" s="487"/>
      <c r="BN48" s="487"/>
      <c r="BO48" s="487"/>
      <c r="BP48" s="487"/>
      <c r="BQ48" s="487"/>
      <c r="BR48" s="487"/>
      <c r="BS48" s="487"/>
      <c r="BT48" s="487"/>
      <c r="BU48" s="487"/>
      <c r="BV48" s="487"/>
    </row>
    <row r="49" spans="1:120" s="488" customFormat="1" ht="15.75" thickBot="1" x14ac:dyDescent="0.3">
      <c r="A49" s="753"/>
      <c r="B49" s="50" t="s">
        <v>135</v>
      </c>
      <c r="C49" s="515">
        <f>'2021-22 ERC'!F147</f>
        <v>0</v>
      </c>
      <c r="D49" s="515">
        <f>'2021-22 ERC'!G147</f>
        <v>0</v>
      </c>
      <c r="E49" s="182">
        <f t="shared" si="21"/>
        <v>0</v>
      </c>
      <c r="F49" s="246">
        <f t="shared" si="22"/>
        <v>0</v>
      </c>
      <c r="G49" s="246">
        <f t="shared" si="22"/>
        <v>0</v>
      </c>
      <c r="H49" s="271">
        <f t="shared" ref="H49:H51" si="24">SUM(F49:G49)</f>
        <v>0</v>
      </c>
      <c r="I49" s="275">
        <f t="shared" si="19"/>
        <v>0</v>
      </c>
      <c r="J49" s="106"/>
      <c r="K49" s="33"/>
      <c r="L49" s="34"/>
      <c r="M49" s="35"/>
      <c r="N49" s="36"/>
      <c r="O49" s="37"/>
      <c r="P49" s="34"/>
      <c r="Q49" s="35"/>
      <c r="R49" s="32"/>
      <c r="S49" s="45"/>
      <c r="T49" s="46"/>
      <c r="U49" s="46"/>
      <c r="V49" s="46"/>
      <c r="W49" s="46"/>
      <c r="X49" s="46"/>
      <c r="Y49" s="35"/>
      <c r="Z49" s="116"/>
      <c r="AA49" s="487"/>
      <c r="AB49" s="487"/>
      <c r="AC49" s="487"/>
      <c r="AD49" s="487"/>
      <c r="AE49" s="487"/>
      <c r="AF49" s="487"/>
      <c r="AG49" s="487"/>
      <c r="AH49" s="487"/>
      <c r="AI49" s="487"/>
      <c r="AJ49" s="487"/>
      <c r="AK49" s="487"/>
      <c r="AL49" s="487"/>
      <c r="AM49" s="487"/>
      <c r="AN49" s="487"/>
      <c r="AO49" s="487"/>
      <c r="AP49" s="487"/>
      <c r="AQ49" s="487"/>
      <c r="AR49" s="487"/>
      <c r="AS49" s="487"/>
      <c r="AT49" s="487"/>
      <c r="AU49" s="487"/>
      <c r="AV49" s="487"/>
      <c r="AW49" s="487"/>
      <c r="AX49" s="487"/>
      <c r="AY49" s="487"/>
      <c r="AZ49" s="487"/>
      <c r="BA49" s="487"/>
      <c r="BB49" s="487"/>
      <c r="BC49" s="487"/>
      <c r="BD49" s="487"/>
      <c r="BE49" s="487"/>
      <c r="BF49" s="487"/>
      <c r="BG49" s="487"/>
      <c r="BH49" s="487"/>
      <c r="BI49" s="487"/>
      <c r="BJ49" s="487"/>
      <c r="BK49" s="487"/>
      <c r="BL49" s="487"/>
      <c r="BM49" s="487"/>
      <c r="BN49" s="487"/>
      <c r="BO49" s="487"/>
      <c r="BP49" s="487"/>
      <c r="BQ49" s="487"/>
      <c r="BR49" s="487"/>
      <c r="BS49" s="487"/>
      <c r="BT49" s="487"/>
      <c r="BU49" s="487"/>
      <c r="BV49" s="487"/>
    </row>
    <row r="50" spans="1:120" s="488" customFormat="1" ht="15.75" thickBot="1" x14ac:dyDescent="0.3">
      <c r="A50" s="753"/>
      <c r="B50" s="50" t="s">
        <v>203</v>
      </c>
      <c r="C50" s="515">
        <f>'2021-22 ERC'!F148</f>
        <v>0</v>
      </c>
      <c r="D50" s="515">
        <f>'2021-22 ERC'!G148</f>
        <v>0</v>
      </c>
      <c r="E50" s="182">
        <f t="shared" si="21"/>
        <v>0</v>
      </c>
      <c r="F50" s="246">
        <f t="shared" si="22"/>
        <v>0</v>
      </c>
      <c r="G50" s="246">
        <f t="shared" si="22"/>
        <v>0</v>
      </c>
      <c r="H50" s="271">
        <f t="shared" si="24"/>
        <v>0</v>
      </c>
      <c r="I50" s="275">
        <f t="shared" si="19"/>
        <v>0</v>
      </c>
      <c r="J50" s="106"/>
      <c r="K50" s="33"/>
      <c r="L50" s="34"/>
      <c r="M50" s="35"/>
      <c r="N50" s="36"/>
      <c r="O50" s="37"/>
      <c r="P50" s="34"/>
      <c r="Q50" s="35"/>
      <c r="R50" s="32"/>
      <c r="S50" s="45"/>
      <c r="T50" s="46"/>
      <c r="U50" s="46"/>
      <c r="V50" s="46"/>
      <c r="W50" s="46"/>
      <c r="X50" s="46"/>
      <c r="Y50" s="35"/>
      <c r="Z50" s="116"/>
      <c r="AA50" s="487"/>
      <c r="AB50" s="487"/>
      <c r="AC50" s="487"/>
      <c r="AD50" s="487"/>
      <c r="AE50" s="487"/>
      <c r="AF50" s="487"/>
      <c r="AG50" s="487"/>
      <c r="AH50" s="487"/>
      <c r="AI50" s="487"/>
      <c r="AJ50" s="487"/>
      <c r="AK50" s="487"/>
      <c r="AL50" s="487"/>
      <c r="AM50" s="487"/>
      <c r="AN50" s="487"/>
      <c r="AO50" s="487"/>
      <c r="AP50" s="487"/>
      <c r="AQ50" s="487"/>
      <c r="AR50" s="487"/>
      <c r="AS50" s="487"/>
      <c r="AT50" s="487"/>
      <c r="AU50" s="487"/>
      <c r="AV50" s="487"/>
      <c r="AW50" s="487"/>
      <c r="AX50" s="487"/>
      <c r="AY50" s="487"/>
      <c r="AZ50" s="487"/>
      <c r="BA50" s="487"/>
      <c r="BB50" s="487"/>
      <c r="BC50" s="487"/>
      <c r="BD50" s="487"/>
      <c r="BE50" s="487"/>
      <c r="BF50" s="487"/>
      <c r="BG50" s="487"/>
      <c r="BH50" s="487"/>
      <c r="BI50" s="487"/>
      <c r="BJ50" s="487"/>
      <c r="BK50" s="487"/>
      <c r="BL50" s="487"/>
      <c r="BM50" s="487"/>
      <c r="BN50" s="487"/>
      <c r="BO50" s="487"/>
      <c r="BP50" s="487"/>
      <c r="BQ50" s="487"/>
      <c r="BR50" s="487"/>
      <c r="BS50" s="487"/>
      <c r="BT50" s="487"/>
      <c r="BU50" s="487"/>
      <c r="BV50" s="487"/>
    </row>
    <row r="51" spans="1:120" s="488" customFormat="1" ht="15.75" thickBot="1" x14ac:dyDescent="0.3">
      <c r="A51" s="754" t="s">
        <v>204</v>
      </c>
      <c r="B51" s="755"/>
      <c r="C51" s="515">
        <f>'2021-22 ERC'!F149</f>
        <v>0</v>
      </c>
      <c r="D51" s="515">
        <f>'2021-22 ERC'!G149</f>
        <v>0</v>
      </c>
      <c r="E51" s="182">
        <f t="shared" si="21"/>
        <v>0</v>
      </c>
      <c r="F51" s="246">
        <f>J51+L51+N51+P51</f>
        <v>0</v>
      </c>
      <c r="G51" s="246">
        <f>K51+M51+O51+Q51</f>
        <v>0</v>
      </c>
      <c r="H51" s="271">
        <f t="shared" si="24"/>
        <v>0</v>
      </c>
      <c r="I51" s="275">
        <f t="shared" si="19"/>
        <v>0</v>
      </c>
      <c r="J51" s="51"/>
      <c r="K51" s="52"/>
      <c r="L51" s="53"/>
      <c r="M51" s="54"/>
      <c r="N51" s="53"/>
      <c r="O51" s="54"/>
      <c r="P51" s="53"/>
      <c r="Q51" s="54"/>
      <c r="R51" s="55"/>
      <c r="S51" s="56"/>
      <c r="T51" s="55"/>
      <c r="U51" s="56"/>
      <c r="V51" s="55"/>
      <c r="W51" s="57"/>
      <c r="X51" s="55"/>
      <c r="Y51" s="58"/>
      <c r="Z51" s="116"/>
      <c r="AA51" s="487"/>
      <c r="AB51" s="487"/>
      <c r="AC51" s="487"/>
      <c r="AD51" s="487"/>
      <c r="AE51" s="487"/>
      <c r="AF51" s="487"/>
      <c r="AG51" s="487"/>
      <c r="AH51" s="487"/>
      <c r="AI51" s="487"/>
      <c r="AJ51" s="487"/>
      <c r="AK51" s="487"/>
      <c r="AL51" s="487"/>
      <c r="AM51" s="487"/>
      <c r="AN51" s="487"/>
      <c r="AO51" s="487"/>
      <c r="AP51" s="487"/>
      <c r="AQ51" s="487"/>
      <c r="AR51" s="487"/>
      <c r="AS51" s="487"/>
      <c r="AT51" s="487"/>
      <c r="AU51" s="487"/>
      <c r="AV51" s="487"/>
      <c r="AW51" s="487"/>
      <c r="AX51" s="487"/>
      <c r="AY51" s="487"/>
      <c r="AZ51" s="487"/>
      <c r="BA51" s="487"/>
      <c r="BB51" s="487"/>
      <c r="BC51" s="487"/>
      <c r="BD51" s="487"/>
      <c r="BE51" s="487"/>
      <c r="BF51" s="487"/>
      <c r="BG51" s="487"/>
      <c r="BH51" s="487"/>
      <c r="BI51" s="487"/>
      <c r="BJ51" s="487"/>
      <c r="BK51" s="487"/>
      <c r="BL51" s="487"/>
      <c r="BM51" s="487"/>
      <c r="BN51" s="487"/>
      <c r="BO51" s="487"/>
      <c r="BP51" s="487"/>
      <c r="BQ51" s="487"/>
      <c r="BR51" s="487"/>
      <c r="BS51" s="487"/>
      <c r="BT51" s="487"/>
      <c r="BU51" s="487"/>
      <c r="BV51" s="487"/>
    </row>
    <row r="52" spans="1:120" s="488" customFormat="1" ht="15.75" thickBot="1" x14ac:dyDescent="0.3">
      <c r="A52" s="756" t="s">
        <v>205</v>
      </c>
      <c r="B52" s="59" t="s">
        <v>206</v>
      </c>
      <c r="C52" s="515">
        <f>'2021-22 ERC'!F150</f>
        <v>0</v>
      </c>
      <c r="D52" s="515">
        <f>'2021-22 ERC'!G150</f>
        <v>0</v>
      </c>
      <c r="E52" s="182">
        <f t="shared" si="21"/>
        <v>0</v>
      </c>
      <c r="F52" s="246">
        <f t="shared" ref="F52:G53" si="25">J52+L52+N52+P52+R52+T52+V52+X52</f>
        <v>0</v>
      </c>
      <c r="G52" s="246">
        <f t="shared" si="25"/>
        <v>0</v>
      </c>
      <c r="H52" s="246">
        <f>SUM(F52:G52)</f>
        <v>0</v>
      </c>
      <c r="I52" s="275">
        <f t="shared" si="19"/>
        <v>0</v>
      </c>
      <c r="J52" s="36"/>
      <c r="K52" s="46"/>
      <c r="L52" s="34"/>
      <c r="M52" s="46"/>
      <c r="N52" s="34"/>
      <c r="O52" s="37"/>
      <c r="P52" s="34"/>
      <c r="Q52" s="35"/>
      <c r="R52" s="34"/>
      <c r="S52" s="46"/>
      <c r="T52" s="34"/>
      <c r="U52" s="46"/>
      <c r="V52" s="34"/>
      <c r="W52" s="37"/>
      <c r="X52" s="34"/>
      <c r="Y52" s="35"/>
      <c r="Z52" s="116"/>
      <c r="AA52" s="487"/>
      <c r="AB52" s="487"/>
      <c r="AC52" s="487"/>
      <c r="AD52" s="487"/>
      <c r="AE52" s="487"/>
      <c r="AF52" s="487"/>
      <c r="AG52" s="487"/>
      <c r="AH52" s="487"/>
      <c r="AI52" s="487"/>
      <c r="AJ52" s="487"/>
      <c r="AK52" s="487"/>
      <c r="AL52" s="487"/>
      <c r="AM52" s="487"/>
      <c r="AN52" s="487"/>
      <c r="AO52" s="487"/>
      <c r="AP52" s="487"/>
      <c r="AQ52" s="487"/>
      <c r="AR52" s="487"/>
      <c r="AS52" s="487"/>
      <c r="AT52" s="487"/>
      <c r="AU52" s="487"/>
      <c r="AV52" s="487"/>
      <c r="AW52" s="487"/>
      <c r="AX52" s="487"/>
      <c r="AY52" s="487"/>
      <c r="AZ52" s="487"/>
      <c r="BA52" s="487"/>
      <c r="BB52" s="487"/>
      <c r="BC52" s="487"/>
      <c r="BD52" s="487"/>
      <c r="BE52" s="487"/>
      <c r="BF52" s="487"/>
      <c r="BG52" s="487"/>
      <c r="BH52" s="487"/>
      <c r="BI52" s="487"/>
      <c r="BJ52" s="487"/>
      <c r="BK52" s="487"/>
      <c r="BL52" s="487"/>
      <c r="BM52" s="487"/>
      <c r="BN52" s="487"/>
      <c r="BO52" s="487"/>
      <c r="BP52" s="487"/>
      <c r="BQ52" s="487"/>
      <c r="BR52" s="487"/>
      <c r="BS52" s="487"/>
      <c r="BT52" s="487"/>
      <c r="BU52" s="487"/>
      <c r="BV52" s="487"/>
    </row>
    <row r="53" spans="1:120" s="488" customFormat="1" ht="15.75" thickBot="1" x14ac:dyDescent="0.3">
      <c r="A53" s="753"/>
      <c r="B53" s="59" t="s">
        <v>140</v>
      </c>
      <c r="C53" s="515">
        <f>'2021-22 ERC'!F151</f>
        <v>0</v>
      </c>
      <c r="D53" s="515">
        <f>'2021-22 ERC'!G151</f>
        <v>0</v>
      </c>
      <c r="E53" s="182">
        <f t="shared" si="21"/>
        <v>0</v>
      </c>
      <c r="F53" s="246">
        <f t="shared" si="25"/>
        <v>0</v>
      </c>
      <c r="G53" s="246">
        <f t="shared" si="25"/>
        <v>0</v>
      </c>
      <c r="H53" s="271">
        <f t="shared" ref="H53" si="26">SUM(F53:G53)</f>
        <v>0</v>
      </c>
      <c r="I53" s="275">
        <f t="shared" si="19"/>
        <v>0</v>
      </c>
      <c r="J53" s="36"/>
      <c r="K53" s="46"/>
      <c r="L53" s="34"/>
      <c r="M53" s="46"/>
      <c r="N53" s="34"/>
      <c r="O53" s="37"/>
      <c r="P53" s="34"/>
      <c r="Q53" s="35"/>
      <c r="R53" s="34"/>
      <c r="S53" s="46"/>
      <c r="T53" s="34"/>
      <c r="U53" s="46"/>
      <c r="V53" s="34"/>
      <c r="W53" s="37"/>
      <c r="X53" s="34"/>
      <c r="Y53" s="35"/>
      <c r="Z53" s="116"/>
      <c r="AA53" s="487"/>
      <c r="AB53" s="487"/>
      <c r="AC53" s="487"/>
      <c r="AD53" s="487"/>
      <c r="AE53" s="487"/>
      <c r="AF53" s="487"/>
      <c r="AG53" s="487"/>
      <c r="AH53" s="487"/>
      <c r="AI53" s="487"/>
      <c r="AJ53" s="487"/>
      <c r="AK53" s="487"/>
      <c r="AL53" s="487"/>
      <c r="AM53" s="487"/>
      <c r="AN53" s="487"/>
      <c r="AO53" s="487"/>
      <c r="AP53" s="487"/>
      <c r="AQ53" s="487"/>
      <c r="AR53" s="487"/>
      <c r="AS53" s="487"/>
      <c r="AT53" s="487"/>
      <c r="AU53" s="487"/>
      <c r="AV53" s="487"/>
      <c r="AW53" s="487"/>
      <c r="AX53" s="487"/>
      <c r="AY53" s="487"/>
      <c r="AZ53" s="487"/>
      <c r="BA53" s="487"/>
      <c r="BB53" s="487"/>
      <c r="BC53" s="487"/>
      <c r="BD53" s="487"/>
      <c r="BE53" s="487"/>
      <c r="BF53" s="487"/>
      <c r="BG53" s="487"/>
      <c r="BH53" s="487"/>
      <c r="BI53" s="487"/>
      <c r="BJ53" s="487"/>
      <c r="BK53" s="487"/>
      <c r="BL53" s="487"/>
      <c r="BM53" s="487"/>
      <c r="BN53" s="487"/>
      <c r="BO53" s="487"/>
      <c r="BP53" s="487"/>
      <c r="BQ53" s="487"/>
      <c r="BR53" s="487"/>
      <c r="BS53" s="487"/>
      <c r="BT53" s="487"/>
      <c r="BU53" s="487"/>
      <c r="BV53" s="487"/>
    </row>
    <row r="54" spans="1:120" s="488" customFormat="1" ht="15.75" thickBot="1" x14ac:dyDescent="0.3">
      <c r="A54" s="753"/>
      <c r="B54" s="50" t="s">
        <v>141</v>
      </c>
      <c r="C54" s="515">
        <f>'2021-22 ERC'!F152</f>
        <v>0</v>
      </c>
      <c r="D54" s="515">
        <f>'2021-22 ERC'!G152</f>
        <v>0</v>
      </c>
      <c r="E54" s="182">
        <f>SUM(C54:D54)</f>
        <v>0</v>
      </c>
      <c r="F54" s="246">
        <f>J54+L54+N54+P54+R54+T54+V54+X54</f>
        <v>0</v>
      </c>
      <c r="G54" s="246">
        <f>K54+M54+O54+Q54+S54+U54+W54+Y54</f>
        <v>0</v>
      </c>
      <c r="H54" s="271">
        <f>SUM(F54:G54)</f>
        <v>0</v>
      </c>
      <c r="I54" s="275">
        <f t="shared" si="19"/>
        <v>0</v>
      </c>
      <c r="J54" s="106"/>
      <c r="K54" s="33"/>
      <c r="L54" s="34"/>
      <c r="M54" s="35"/>
      <c r="N54" s="36"/>
      <c r="O54" s="37"/>
      <c r="P54" s="34"/>
      <c r="Q54" s="35"/>
      <c r="R54" s="32"/>
      <c r="S54" s="45"/>
      <c r="T54" s="46"/>
      <c r="U54" s="46"/>
      <c r="V54" s="46"/>
      <c r="W54" s="46"/>
      <c r="X54" s="46"/>
      <c r="Y54" s="35"/>
      <c r="Z54" s="116"/>
      <c r="AA54" s="487"/>
      <c r="AB54" s="487"/>
      <c r="AC54" s="487"/>
      <c r="AD54" s="487"/>
      <c r="AE54" s="487"/>
      <c r="AF54" s="487"/>
      <c r="AG54" s="487"/>
      <c r="AH54" s="487"/>
      <c r="AI54" s="487"/>
      <c r="AJ54" s="487"/>
      <c r="AK54" s="487"/>
      <c r="AL54" s="487"/>
      <c r="AM54" s="487"/>
      <c r="AN54" s="487"/>
      <c r="AO54" s="487"/>
      <c r="AP54" s="487"/>
      <c r="AQ54" s="487"/>
      <c r="AR54" s="487"/>
      <c r="AS54" s="487"/>
      <c r="AT54" s="487"/>
      <c r="AU54" s="487"/>
      <c r="AV54" s="487"/>
      <c r="AW54" s="487"/>
      <c r="AX54" s="487"/>
      <c r="AY54" s="487"/>
      <c r="AZ54" s="487"/>
      <c r="BA54" s="487"/>
      <c r="BB54" s="487"/>
      <c r="BC54" s="487"/>
      <c r="BD54" s="487"/>
      <c r="BE54" s="487"/>
      <c r="BF54" s="487"/>
      <c r="BG54" s="487"/>
      <c r="BH54" s="487"/>
      <c r="BI54" s="487"/>
      <c r="BJ54" s="487"/>
      <c r="BK54" s="487"/>
      <c r="BL54" s="487"/>
      <c r="BM54" s="487"/>
      <c r="BN54" s="487"/>
      <c r="BO54" s="487"/>
      <c r="BP54" s="487"/>
      <c r="BQ54" s="487"/>
      <c r="BR54" s="487"/>
      <c r="BS54" s="487"/>
      <c r="BT54" s="487"/>
      <c r="BU54" s="487"/>
      <c r="BV54" s="487"/>
    </row>
    <row r="55" spans="1:120" s="488" customFormat="1" ht="15.75" thickBot="1" x14ac:dyDescent="0.3">
      <c r="A55" s="753"/>
      <c r="B55" s="60" t="s">
        <v>142</v>
      </c>
      <c r="C55" s="515">
        <f>'2021-22 ERC'!F153</f>
        <v>0</v>
      </c>
      <c r="D55" s="515">
        <f>'2021-22 ERC'!G153</f>
        <v>0</v>
      </c>
      <c r="E55" s="182">
        <f t="shared" ref="E55" si="27">SUM(C55:D55)</f>
        <v>0</v>
      </c>
      <c r="F55" s="246">
        <f t="shared" ref="F55:G55" si="28">J55+L55+N55+P55+R55+T55+V55+X55</f>
        <v>0</v>
      </c>
      <c r="G55" s="246">
        <f t="shared" si="28"/>
        <v>0</v>
      </c>
      <c r="H55" s="271">
        <f t="shared" ref="H55" si="29">SUM(F55:G55)</f>
        <v>0</v>
      </c>
      <c r="I55" s="275">
        <f t="shared" si="19"/>
        <v>0</v>
      </c>
      <c r="J55" s="36"/>
      <c r="K55" s="46"/>
      <c r="L55" s="34"/>
      <c r="M55" s="46"/>
      <c r="N55" s="34"/>
      <c r="O55" s="37"/>
      <c r="P55" s="34"/>
      <c r="Q55" s="35"/>
      <c r="R55" s="34"/>
      <c r="S55" s="46"/>
      <c r="T55" s="34"/>
      <c r="U55" s="46"/>
      <c r="V55" s="34"/>
      <c r="W55" s="37"/>
      <c r="X55" s="34"/>
      <c r="Y55" s="35"/>
      <c r="Z55" s="116"/>
      <c r="AA55" s="487"/>
      <c r="AB55" s="487"/>
      <c r="AC55" s="487"/>
      <c r="AD55" s="487"/>
      <c r="AE55" s="487"/>
      <c r="AF55" s="487"/>
      <c r="AG55" s="487"/>
      <c r="AH55" s="487"/>
      <c r="AI55" s="487"/>
      <c r="AJ55" s="487"/>
      <c r="AK55" s="487"/>
      <c r="AL55" s="487"/>
      <c r="AM55" s="487"/>
      <c r="AN55" s="487"/>
      <c r="AO55" s="487"/>
      <c r="AP55" s="487"/>
      <c r="AQ55" s="487"/>
      <c r="AR55" s="487"/>
      <c r="AS55" s="487"/>
      <c r="AT55" s="487"/>
      <c r="AU55" s="487"/>
      <c r="AV55" s="487"/>
      <c r="AW55" s="487"/>
      <c r="AX55" s="487"/>
      <c r="AY55" s="487"/>
      <c r="AZ55" s="487"/>
      <c r="BA55" s="487"/>
      <c r="BB55" s="487"/>
      <c r="BC55" s="487"/>
      <c r="BD55" s="487"/>
      <c r="BE55" s="487"/>
      <c r="BF55" s="487"/>
      <c r="BG55" s="487"/>
      <c r="BH55" s="487"/>
      <c r="BI55" s="487"/>
      <c r="BJ55" s="487"/>
      <c r="BK55" s="487"/>
      <c r="BL55" s="487"/>
      <c r="BM55" s="487"/>
      <c r="BN55" s="487"/>
      <c r="BO55" s="487"/>
      <c r="BP55" s="487"/>
      <c r="BQ55" s="487"/>
      <c r="BR55" s="487"/>
      <c r="BS55" s="487"/>
      <c r="BT55" s="487"/>
      <c r="BU55" s="487"/>
      <c r="BV55" s="487"/>
    </row>
    <row r="56" spans="1:120" s="480" customFormat="1" ht="16.5" thickTop="1" thickBot="1" x14ac:dyDescent="0.3">
      <c r="A56" s="757" t="s">
        <v>207</v>
      </c>
      <c r="B56" s="758"/>
      <c r="C56" s="515">
        <f>'2021-22 ERC'!F154</f>
        <v>0</v>
      </c>
      <c r="D56" s="515">
        <f>'2021-22 ERC'!G154</f>
        <v>8</v>
      </c>
      <c r="E56" s="182">
        <f>SUM(C56:D56)</f>
        <v>8</v>
      </c>
      <c r="F56" s="246">
        <f>J56+L56+N56+P56</f>
        <v>0</v>
      </c>
      <c r="G56" s="246">
        <f>K56+M56+O56+Q56</f>
        <v>8</v>
      </c>
      <c r="H56" s="273">
        <f>SUM(F56:G56)</f>
        <v>8</v>
      </c>
      <c r="I56" s="275">
        <f t="shared" si="19"/>
        <v>100</v>
      </c>
      <c r="J56" s="274">
        <f t="shared" ref="J56:Q56" si="30">SUM(J42:J55)</f>
        <v>0</v>
      </c>
      <c r="K56" s="274">
        <f t="shared" si="30"/>
        <v>0</v>
      </c>
      <c r="L56" s="274">
        <f t="shared" si="30"/>
        <v>0</v>
      </c>
      <c r="M56" s="274">
        <f t="shared" si="30"/>
        <v>0</v>
      </c>
      <c r="N56" s="274">
        <f t="shared" si="30"/>
        <v>0</v>
      </c>
      <c r="O56" s="274">
        <f t="shared" si="30"/>
        <v>6</v>
      </c>
      <c r="P56" s="274">
        <f t="shared" si="30"/>
        <v>0</v>
      </c>
      <c r="Q56" s="274">
        <f t="shared" si="30"/>
        <v>2</v>
      </c>
      <c r="R56" s="122"/>
      <c r="S56" s="123"/>
      <c r="T56" s="122"/>
      <c r="U56" s="123"/>
      <c r="V56" s="122"/>
      <c r="W56" s="124"/>
      <c r="X56" s="122"/>
      <c r="Y56" s="125"/>
      <c r="Z56" s="116"/>
    </row>
    <row r="57" spans="1:120" s="480" customFormat="1" ht="15.75" thickBot="1" x14ac:dyDescent="0.3">
      <c r="A57" s="735" t="s">
        <v>208</v>
      </c>
      <c r="B57" s="736"/>
      <c r="C57" s="515">
        <f>'2021-22 ERC'!F155</f>
        <v>0</v>
      </c>
      <c r="D57" s="515">
        <f>'2021-22 ERC'!G155</f>
        <v>0</v>
      </c>
      <c r="E57" s="182">
        <f>SUM(C57:D57)</f>
        <v>0</v>
      </c>
      <c r="F57" s="246">
        <f>R57+T57+V57+X57</f>
        <v>0</v>
      </c>
      <c r="G57" s="246">
        <f>S57+U57+W57+Y57</f>
        <v>0</v>
      </c>
      <c r="H57" s="246">
        <f>SUM(F57:G57)</f>
        <v>0</v>
      </c>
      <c r="I57" s="275">
        <f t="shared" si="19"/>
        <v>0</v>
      </c>
      <c r="J57" s="42"/>
      <c r="K57" s="43"/>
      <c r="L57" s="44"/>
      <c r="M57" s="43"/>
      <c r="N57" s="44"/>
      <c r="O57" s="43"/>
      <c r="P57" s="44"/>
      <c r="Q57" s="43"/>
      <c r="R57" s="259">
        <f t="shared" ref="R57:Y57" si="31">SUM(R42:R56)</f>
        <v>0</v>
      </c>
      <c r="S57" s="259">
        <f t="shared" si="31"/>
        <v>0</v>
      </c>
      <c r="T57" s="259">
        <f t="shared" si="31"/>
        <v>0</v>
      </c>
      <c r="U57" s="259">
        <f t="shared" si="31"/>
        <v>0</v>
      </c>
      <c r="V57" s="259">
        <f t="shared" si="31"/>
        <v>0</v>
      </c>
      <c r="W57" s="259">
        <f t="shared" si="31"/>
        <v>0</v>
      </c>
      <c r="X57" s="259">
        <f t="shared" si="31"/>
        <v>0</v>
      </c>
      <c r="Y57" s="259">
        <f t="shared" si="31"/>
        <v>0</v>
      </c>
      <c r="Z57" s="116"/>
    </row>
    <row r="58" spans="1:120" ht="20.25" customHeight="1" thickBot="1" x14ac:dyDescent="0.3">
      <c r="A58" s="737" t="s">
        <v>209</v>
      </c>
      <c r="B58" s="278" t="s">
        <v>210</v>
      </c>
      <c r="C58" s="66"/>
      <c r="D58" s="66"/>
      <c r="E58" s="66"/>
      <c r="F58" s="67"/>
      <c r="G58" s="68"/>
      <c r="H58" s="69"/>
      <c r="I58" s="69"/>
      <c r="J58" s="70"/>
      <c r="K58" s="71"/>
      <c r="L58" s="72"/>
      <c r="M58" s="73"/>
      <c r="N58" s="72"/>
      <c r="O58" s="73"/>
      <c r="P58" s="72"/>
      <c r="Q58" s="73"/>
      <c r="R58" s="72"/>
      <c r="S58" s="73"/>
      <c r="T58" s="72"/>
      <c r="U58" s="73"/>
      <c r="V58" s="72"/>
      <c r="W58" s="74"/>
      <c r="X58" s="72"/>
      <c r="Y58" s="75"/>
      <c r="AA58" s="480"/>
      <c r="AB58" s="480"/>
      <c r="AC58" s="480"/>
      <c r="AD58" s="480"/>
      <c r="AE58" s="480"/>
      <c r="AF58" s="480"/>
      <c r="AG58" s="480"/>
      <c r="AH58" s="480"/>
      <c r="AI58" s="480"/>
      <c r="AJ58" s="480"/>
      <c r="AK58" s="480"/>
      <c r="AL58" s="480"/>
      <c r="AM58" s="480"/>
      <c r="AN58" s="480"/>
      <c r="AO58" s="480"/>
      <c r="AP58" s="480"/>
      <c r="AQ58" s="480"/>
      <c r="AR58" s="480"/>
      <c r="AS58" s="480"/>
      <c r="AT58" s="480"/>
      <c r="AU58" s="480"/>
      <c r="AV58" s="480"/>
      <c r="AW58" s="480"/>
      <c r="AX58" s="480"/>
      <c r="AY58" s="480"/>
      <c r="AZ58" s="480"/>
      <c r="BA58" s="480"/>
      <c r="BB58" s="480"/>
      <c r="BC58" s="480"/>
      <c r="BD58" s="480"/>
      <c r="BE58" s="480"/>
      <c r="BF58" s="480"/>
      <c r="BW58" s="481"/>
      <c r="BX58" s="481"/>
      <c r="BY58" s="481"/>
      <c r="BZ58" s="481"/>
      <c r="CA58" s="481"/>
      <c r="CB58" s="481"/>
      <c r="CC58" s="481"/>
      <c r="CD58" s="481"/>
      <c r="CE58" s="481"/>
      <c r="CF58" s="481"/>
      <c r="CG58" s="481"/>
      <c r="CH58" s="481"/>
      <c r="CI58" s="481"/>
      <c r="CJ58" s="481"/>
      <c r="CK58" s="481"/>
      <c r="CL58" s="481"/>
      <c r="CM58" s="481"/>
      <c r="CN58" s="481"/>
      <c r="CO58" s="481"/>
      <c r="CP58" s="481"/>
      <c r="CQ58" s="481"/>
      <c r="CR58" s="481"/>
      <c r="CS58" s="481"/>
      <c r="CT58" s="481"/>
      <c r="CU58" s="481"/>
      <c r="CV58" s="481"/>
      <c r="CW58" s="481"/>
      <c r="CX58" s="481"/>
      <c r="CY58" s="481"/>
      <c r="CZ58" s="481"/>
      <c r="DA58" s="481"/>
      <c r="DB58" s="481"/>
      <c r="DC58" s="481"/>
      <c r="DD58" s="481"/>
      <c r="DE58" s="481"/>
      <c r="DF58" s="481"/>
      <c r="DG58" s="481"/>
      <c r="DH58" s="481"/>
      <c r="DI58" s="481"/>
      <c r="DJ58" s="481"/>
      <c r="DK58" s="481"/>
      <c r="DL58" s="481"/>
      <c r="DM58" s="481"/>
      <c r="DN58" s="481"/>
      <c r="DO58" s="481"/>
      <c r="DP58" s="481"/>
    </row>
    <row r="59" spans="1:120" ht="15.75" thickBot="1" x14ac:dyDescent="0.3">
      <c r="A59" s="738"/>
      <c r="B59" s="227" t="s">
        <v>211</v>
      </c>
      <c r="C59" s="496">
        <f>'2021-22 ERC'!F157</f>
        <v>0</v>
      </c>
      <c r="D59" s="496">
        <f>'2021-22 ERC'!G157</f>
        <v>0</v>
      </c>
      <c r="E59" s="181">
        <f>SUM(C59:D59)</f>
        <v>0</v>
      </c>
      <c r="F59" s="246">
        <f>J59+L59+N59+P59</f>
        <v>0</v>
      </c>
      <c r="G59" s="246">
        <f>K59+M59+O59+Q59</f>
        <v>0</v>
      </c>
      <c r="H59" s="271">
        <f>SUM(F59:G59)</f>
        <v>0</v>
      </c>
      <c r="I59" s="275">
        <f>IFERROR(H59/E59*100,0)</f>
        <v>0</v>
      </c>
      <c r="J59" s="106"/>
      <c r="K59" s="45"/>
      <c r="L59" s="34"/>
      <c r="M59" s="46"/>
      <c r="N59" s="34"/>
      <c r="O59" s="46"/>
      <c r="P59" s="34"/>
      <c r="Q59" s="46"/>
      <c r="R59" s="77"/>
      <c r="S59" s="78"/>
      <c r="T59" s="77"/>
      <c r="U59" s="78"/>
      <c r="V59" s="77"/>
      <c r="W59" s="79"/>
      <c r="X59" s="77"/>
      <c r="Y59" s="80"/>
      <c r="AA59" s="480"/>
      <c r="AB59" s="480"/>
      <c r="AC59" s="480"/>
      <c r="AD59" s="480"/>
      <c r="AE59" s="480"/>
      <c r="AF59" s="480"/>
      <c r="AG59" s="480"/>
      <c r="AH59" s="480"/>
      <c r="AI59" s="480"/>
      <c r="AJ59" s="480"/>
      <c r="AK59" s="480"/>
      <c r="AL59" s="480"/>
      <c r="AM59" s="480"/>
      <c r="AN59" s="480"/>
      <c r="AO59" s="480"/>
      <c r="AP59" s="480"/>
      <c r="AQ59" s="480"/>
      <c r="AR59" s="480"/>
      <c r="AS59" s="480"/>
      <c r="AT59" s="480"/>
      <c r="AU59" s="480"/>
      <c r="AV59" s="480"/>
      <c r="AW59" s="480"/>
      <c r="AX59" s="480"/>
      <c r="AY59" s="480"/>
      <c r="AZ59" s="480"/>
      <c r="BA59" s="480"/>
      <c r="BB59" s="480"/>
      <c r="BC59" s="480"/>
      <c r="BD59" s="480"/>
      <c r="BE59" s="480"/>
      <c r="BF59" s="480"/>
      <c r="BW59" s="481"/>
      <c r="BX59" s="481"/>
      <c r="BY59" s="481"/>
      <c r="BZ59" s="481"/>
      <c r="CA59" s="481"/>
      <c r="CB59" s="481"/>
      <c r="CC59" s="481"/>
      <c r="CD59" s="481"/>
      <c r="CE59" s="481"/>
      <c r="CF59" s="481"/>
      <c r="CG59" s="481"/>
      <c r="CH59" s="481"/>
      <c r="CI59" s="481"/>
      <c r="CJ59" s="481"/>
      <c r="CK59" s="481"/>
      <c r="CL59" s="481"/>
      <c r="CM59" s="481"/>
      <c r="CN59" s="481"/>
      <c r="CO59" s="481"/>
      <c r="CP59" s="481"/>
      <c r="CQ59" s="481"/>
      <c r="CR59" s="481"/>
      <c r="CS59" s="481"/>
      <c r="CT59" s="481"/>
      <c r="CU59" s="481"/>
      <c r="CV59" s="481"/>
      <c r="CW59" s="481"/>
      <c r="CX59" s="481"/>
      <c r="CY59" s="481"/>
      <c r="CZ59" s="481"/>
      <c r="DA59" s="481"/>
      <c r="DB59" s="481"/>
      <c r="DC59" s="481"/>
      <c r="DD59" s="481"/>
      <c r="DE59" s="481"/>
      <c r="DF59" s="481"/>
      <c r="DG59" s="481"/>
      <c r="DH59" s="481"/>
      <c r="DI59" s="481"/>
      <c r="DJ59" s="481"/>
      <c r="DK59" s="481"/>
      <c r="DL59" s="481"/>
      <c r="DM59" s="481"/>
      <c r="DN59" s="481"/>
      <c r="DO59" s="481"/>
      <c r="DP59" s="481"/>
    </row>
    <row r="60" spans="1:120" s="502" customFormat="1" ht="30" customHeight="1" thickBot="1" x14ac:dyDescent="0.3">
      <c r="A60" s="738"/>
      <c r="B60" s="228" t="s">
        <v>212</v>
      </c>
      <c r="C60" s="82" t="s">
        <v>263</v>
      </c>
      <c r="D60" s="82" t="s">
        <v>263</v>
      </c>
      <c r="E60" s="82" t="s">
        <v>263</v>
      </c>
      <c r="F60" s="246">
        <f>J60+L60+N60</f>
        <v>0</v>
      </c>
      <c r="G60" s="246">
        <f>K60+M60+O60</f>
        <v>0</v>
      </c>
      <c r="H60" s="271">
        <f t="shared" ref="H60:H61" si="32">SUM(F60:G60)</f>
        <v>0</v>
      </c>
      <c r="I60" s="246" t="s">
        <v>263</v>
      </c>
      <c r="J60" s="85"/>
      <c r="K60" s="84"/>
      <c r="L60" s="85"/>
      <c r="M60" s="86"/>
      <c r="N60" s="34"/>
      <c r="O60" s="46"/>
      <c r="P60" s="77"/>
      <c r="Q60" s="78"/>
      <c r="R60" s="77"/>
      <c r="S60" s="78"/>
      <c r="T60" s="77"/>
      <c r="U60" s="78"/>
      <c r="V60" s="77"/>
      <c r="W60" s="79"/>
      <c r="X60" s="77"/>
      <c r="Y60" s="80"/>
      <c r="Z60" s="116"/>
      <c r="AA60" s="480"/>
      <c r="AB60" s="480"/>
      <c r="AC60" s="480"/>
      <c r="AD60" s="480"/>
      <c r="AE60" s="480"/>
      <c r="AF60" s="480"/>
      <c r="AG60" s="480"/>
      <c r="AH60" s="480"/>
      <c r="AI60" s="480"/>
      <c r="AJ60" s="480"/>
      <c r="AK60" s="480"/>
      <c r="AL60" s="480"/>
      <c r="AM60" s="480"/>
      <c r="AN60" s="480"/>
      <c r="AO60" s="480"/>
      <c r="AP60" s="480"/>
      <c r="AQ60" s="480"/>
      <c r="AR60" s="480"/>
      <c r="AS60" s="480"/>
      <c r="AT60" s="480"/>
      <c r="AU60" s="480"/>
      <c r="AV60" s="480"/>
      <c r="AW60" s="480"/>
      <c r="AX60" s="480"/>
      <c r="AY60" s="480"/>
      <c r="AZ60" s="480"/>
      <c r="BA60" s="480"/>
      <c r="BB60" s="480"/>
      <c r="BC60" s="480"/>
      <c r="BD60" s="480"/>
      <c r="BE60" s="480"/>
      <c r="BF60" s="480"/>
      <c r="BG60" s="480"/>
      <c r="BH60" s="480"/>
      <c r="BI60" s="480"/>
      <c r="BJ60" s="480"/>
      <c r="BK60" s="480"/>
      <c r="BL60" s="480"/>
      <c r="BM60" s="480"/>
      <c r="BN60" s="480"/>
      <c r="BO60" s="480"/>
      <c r="BP60" s="480"/>
      <c r="BQ60" s="480"/>
      <c r="BR60" s="480"/>
      <c r="BS60" s="480"/>
      <c r="BT60" s="480"/>
      <c r="BU60" s="480"/>
      <c r="BV60" s="480"/>
    </row>
    <row r="61" spans="1:120" ht="15.75" thickBot="1" x14ac:dyDescent="0.3">
      <c r="A61" s="738"/>
      <c r="B61" s="229" t="s">
        <v>213</v>
      </c>
      <c r="C61" s="88" t="s">
        <v>263</v>
      </c>
      <c r="D61" s="88" t="s">
        <v>263</v>
      </c>
      <c r="E61" s="88" t="s">
        <v>263</v>
      </c>
      <c r="F61" s="246">
        <f>N61</f>
        <v>0</v>
      </c>
      <c r="G61" s="246">
        <f>O61</f>
        <v>0</v>
      </c>
      <c r="H61" s="271">
        <f t="shared" si="32"/>
        <v>0</v>
      </c>
      <c r="I61" s="246" t="s">
        <v>263</v>
      </c>
      <c r="J61" s="191"/>
      <c r="K61" s="78"/>
      <c r="L61" s="77"/>
      <c r="M61" s="78"/>
      <c r="N61" s="85"/>
      <c r="O61" s="86"/>
      <c r="P61" s="77"/>
      <c r="Q61" s="78"/>
      <c r="R61" s="77"/>
      <c r="S61" s="78"/>
      <c r="T61" s="77"/>
      <c r="U61" s="78"/>
      <c r="V61" s="77"/>
      <c r="W61" s="79"/>
      <c r="X61" s="77"/>
      <c r="Y61" s="80"/>
      <c r="AA61" s="480"/>
      <c r="AB61" s="480"/>
      <c r="AC61" s="480"/>
      <c r="AD61" s="480"/>
      <c r="AE61" s="480"/>
      <c r="AF61" s="480"/>
      <c r="AG61" s="480"/>
      <c r="AH61" s="480"/>
      <c r="AI61" s="480"/>
      <c r="AJ61" s="480"/>
      <c r="AK61" s="480"/>
      <c r="AL61" s="480"/>
      <c r="AM61" s="480"/>
      <c r="AN61" s="480"/>
      <c r="AO61" s="480"/>
      <c r="AP61" s="480"/>
      <c r="AQ61" s="480"/>
      <c r="AR61" s="480"/>
      <c r="AS61" s="480"/>
      <c r="AT61" s="480"/>
      <c r="AU61" s="480"/>
      <c r="AV61" s="480"/>
      <c r="AW61" s="480"/>
      <c r="AX61" s="480"/>
      <c r="AY61" s="480"/>
      <c r="AZ61" s="480"/>
      <c r="BA61" s="480"/>
      <c r="BB61" s="480"/>
      <c r="BC61" s="480"/>
      <c r="BD61" s="480"/>
      <c r="BE61" s="480"/>
      <c r="BF61" s="480"/>
      <c r="BW61" s="481"/>
      <c r="BX61" s="481"/>
      <c r="BY61" s="481"/>
      <c r="BZ61" s="481"/>
      <c r="CA61" s="481"/>
      <c r="CB61" s="481"/>
      <c r="CC61" s="481"/>
      <c r="CD61" s="481"/>
      <c r="CE61" s="481"/>
      <c r="CF61" s="481"/>
      <c r="CG61" s="481"/>
      <c r="CH61" s="481"/>
      <c r="CI61" s="481"/>
      <c r="CJ61" s="481"/>
      <c r="CK61" s="481"/>
      <c r="CL61" s="481"/>
      <c r="CM61" s="481"/>
      <c r="CN61" s="481"/>
      <c r="CO61" s="481"/>
      <c r="CP61" s="481"/>
      <c r="CQ61" s="481"/>
      <c r="CR61" s="481"/>
      <c r="CS61" s="481"/>
      <c r="CT61" s="481"/>
      <c r="CU61" s="481"/>
      <c r="CV61" s="481"/>
      <c r="CW61" s="481"/>
      <c r="CX61" s="481"/>
      <c r="CY61" s="481"/>
      <c r="CZ61" s="481"/>
      <c r="DA61" s="481"/>
      <c r="DB61" s="481"/>
      <c r="DC61" s="481"/>
      <c r="DD61" s="481"/>
      <c r="DE61" s="481"/>
      <c r="DF61" s="481"/>
      <c r="DG61" s="481"/>
      <c r="DH61" s="481"/>
      <c r="DI61" s="481"/>
      <c r="DJ61" s="481"/>
      <c r="DK61" s="481"/>
      <c r="DL61" s="481"/>
      <c r="DM61" s="481"/>
      <c r="DN61" s="481"/>
      <c r="DO61" s="481"/>
      <c r="DP61" s="481"/>
    </row>
    <row r="62" spans="1:120" ht="20.25" customHeight="1" thickBot="1" x14ac:dyDescent="0.3">
      <c r="A62" s="738"/>
      <c r="B62" s="278" t="s">
        <v>214</v>
      </c>
      <c r="C62" s="89"/>
      <c r="D62" s="89"/>
      <c r="E62" s="89"/>
      <c r="F62" s="69"/>
      <c r="G62" s="69"/>
      <c r="H62" s="69"/>
      <c r="I62" s="69"/>
      <c r="J62" s="70"/>
      <c r="K62" s="71"/>
      <c r="L62" s="72"/>
      <c r="M62" s="73"/>
      <c r="N62" s="72"/>
      <c r="O62" s="73"/>
      <c r="P62" s="72"/>
      <c r="Q62" s="73"/>
      <c r="R62" s="72"/>
      <c r="S62" s="73"/>
      <c r="T62" s="72"/>
      <c r="U62" s="73"/>
      <c r="V62" s="72"/>
      <c r="W62" s="74"/>
      <c r="X62" s="72"/>
      <c r="Y62" s="75"/>
      <c r="AA62" s="480"/>
      <c r="AB62" s="480"/>
      <c r="AC62" s="480"/>
      <c r="AD62" s="480"/>
      <c r="AE62" s="480"/>
      <c r="AF62" s="480"/>
      <c r="AG62" s="480"/>
      <c r="AH62" s="480"/>
      <c r="AI62" s="480"/>
      <c r="AJ62" s="480"/>
      <c r="AK62" s="480"/>
      <c r="AL62" s="480"/>
      <c r="AM62" s="480"/>
      <c r="AN62" s="480"/>
      <c r="AO62" s="480"/>
      <c r="AP62" s="480"/>
      <c r="AQ62" s="480"/>
      <c r="AR62" s="480"/>
      <c r="AS62" s="480"/>
      <c r="AT62" s="480"/>
      <c r="AU62" s="480"/>
      <c r="AV62" s="480"/>
      <c r="AW62" s="480"/>
      <c r="AX62" s="480"/>
      <c r="AY62" s="480"/>
      <c r="AZ62" s="480"/>
      <c r="BA62" s="480"/>
      <c r="BB62" s="480"/>
      <c r="BC62" s="480"/>
      <c r="BD62" s="480"/>
      <c r="BE62" s="480"/>
      <c r="BF62" s="480"/>
      <c r="BW62" s="481"/>
      <c r="BX62" s="481"/>
      <c r="BY62" s="481"/>
      <c r="BZ62" s="481"/>
      <c r="CA62" s="481"/>
      <c r="CB62" s="481"/>
      <c r="CC62" s="481"/>
      <c r="CD62" s="481"/>
      <c r="CE62" s="481"/>
      <c r="CF62" s="481"/>
      <c r="CG62" s="481"/>
      <c r="CH62" s="481"/>
      <c r="CI62" s="481"/>
      <c r="CJ62" s="481"/>
      <c r="CK62" s="481"/>
      <c r="CL62" s="481"/>
      <c r="CM62" s="481"/>
      <c r="CN62" s="481"/>
      <c r="CO62" s="481"/>
      <c r="CP62" s="481"/>
      <c r="CQ62" s="481"/>
      <c r="CR62" s="481"/>
      <c r="CS62" s="481"/>
      <c r="CT62" s="481"/>
      <c r="CU62" s="481"/>
      <c r="CV62" s="481"/>
      <c r="CW62" s="481"/>
      <c r="CX62" s="481"/>
      <c r="CY62" s="481"/>
      <c r="CZ62" s="481"/>
      <c r="DA62" s="481"/>
      <c r="DB62" s="481"/>
      <c r="DC62" s="481"/>
      <c r="DD62" s="481"/>
      <c r="DE62" s="481"/>
      <c r="DF62" s="481"/>
      <c r="DG62" s="481"/>
      <c r="DH62" s="481"/>
      <c r="DI62" s="481"/>
      <c r="DJ62" s="481"/>
      <c r="DK62" s="481"/>
      <c r="DL62" s="481"/>
      <c r="DM62" s="481"/>
      <c r="DN62" s="481"/>
      <c r="DO62" s="481"/>
      <c r="DP62" s="481"/>
    </row>
    <row r="63" spans="1:120" ht="15.75" thickBot="1" x14ac:dyDescent="0.3">
      <c r="A63" s="739"/>
      <c r="B63" s="225" t="s">
        <v>215</v>
      </c>
      <c r="C63" s="503">
        <f>'2021-22 ERC'!F161</f>
        <v>12</v>
      </c>
      <c r="D63" s="503">
        <f>'2021-22 ERC'!G161</f>
        <v>10</v>
      </c>
      <c r="E63" s="180">
        <f>SUM(C63:D63)</f>
        <v>22</v>
      </c>
      <c r="F63" s="246">
        <f>N63+P63</f>
        <v>12</v>
      </c>
      <c r="G63" s="246">
        <f>O63+Q63</f>
        <v>10</v>
      </c>
      <c r="H63" s="271">
        <f>SUM(F63:G63)</f>
        <v>22</v>
      </c>
      <c r="I63" s="275">
        <f>IFERROR(H63/E63*100,0)</f>
        <v>100</v>
      </c>
      <c r="J63" s="191"/>
      <c r="K63" s="78"/>
      <c r="L63" s="77"/>
      <c r="M63" s="78"/>
      <c r="N63" s="34"/>
      <c r="O63" s="46"/>
      <c r="P63" s="34">
        <v>12</v>
      </c>
      <c r="Q63" s="46">
        <v>10</v>
      </c>
      <c r="R63" s="77"/>
      <c r="S63" s="78"/>
      <c r="T63" s="77"/>
      <c r="U63" s="78"/>
      <c r="V63" s="77"/>
      <c r="W63" s="79"/>
      <c r="X63" s="77"/>
      <c r="Y63" s="80"/>
      <c r="AA63" s="480"/>
      <c r="AB63" s="480"/>
      <c r="AC63" s="480"/>
      <c r="AD63" s="480"/>
      <c r="AE63" s="480"/>
      <c r="AF63" s="480"/>
      <c r="AG63" s="480"/>
      <c r="AH63" s="480"/>
      <c r="AI63" s="480"/>
      <c r="AJ63" s="480"/>
      <c r="AK63" s="480"/>
      <c r="AL63" s="480"/>
      <c r="AM63" s="480"/>
      <c r="AN63" s="480"/>
      <c r="AO63" s="480"/>
      <c r="AP63" s="480"/>
      <c r="AQ63" s="480"/>
      <c r="AR63" s="480"/>
      <c r="AS63" s="480"/>
      <c r="AT63" s="480"/>
      <c r="AU63" s="480"/>
      <c r="AV63" s="480"/>
      <c r="AW63" s="480"/>
      <c r="AX63" s="480"/>
      <c r="AY63" s="480"/>
      <c r="AZ63" s="480"/>
      <c r="BA63" s="480"/>
      <c r="BB63" s="480"/>
      <c r="BC63" s="480"/>
      <c r="BD63" s="480"/>
      <c r="BE63" s="480"/>
      <c r="BF63" s="480"/>
      <c r="BW63" s="481"/>
      <c r="BX63" s="481"/>
      <c r="BY63" s="481"/>
      <c r="BZ63" s="481"/>
      <c r="CA63" s="481"/>
      <c r="CB63" s="481"/>
      <c r="CC63" s="481"/>
      <c r="CD63" s="481"/>
      <c r="CE63" s="481"/>
      <c r="CF63" s="481"/>
      <c r="CG63" s="481"/>
      <c r="CH63" s="481"/>
      <c r="CI63" s="481"/>
      <c r="CJ63" s="481"/>
      <c r="CK63" s="481"/>
      <c r="CL63" s="481"/>
      <c r="CM63" s="481"/>
      <c r="CN63" s="481"/>
      <c r="CO63" s="481"/>
      <c r="CP63" s="481"/>
      <c r="CQ63" s="481"/>
      <c r="CR63" s="481"/>
      <c r="CS63" s="481"/>
      <c r="CT63" s="481"/>
      <c r="CU63" s="481"/>
      <c r="CV63" s="481"/>
      <c r="CW63" s="481"/>
      <c r="CX63" s="481"/>
      <c r="CY63" s="481"/>
      <c r="CZ63" s="481"/>
      <c r="DA63" s="481"/>
      <c r="DB63" s="481"/>
      <c r="DC63" s="481"/>
      <c r="DD63" s="481"/>
      <c r="DE63" s="481"/>
      <c r="DF63" s="481"/>
      <c r="DG63" s="481"/>
      <c r="DH63" s="481"/>
      <c r="DI63" s="481"/>
      <c r="DJ63" s="481"/>
      <c r="DK63" s="481"/>
      <c r="DL63" s="481"/>
      <c r="DM63" s="481"/>
      <c r="DN63" s="481"/>
      <c r="DO63" s="481"/>
      <c r="DP63" s="481"/>
    </row>
    <row r="64" spans="1:120" ht="15.75" thickBot="1" x14ac:dyDescent="0.3">
      <c r="A64" s="739"/>
      <c r="B64" s="226" t="s">
        <v>216</v>
      </c>
      <c r="C64" s="503">
        <f>'2021-22 ERC'!F162</f>
        <v>0</v>
      </c>
      <c r="D64" s="503">
        <f>'2021-22 ERC'!G162</f>
        <v>0</v>
      </c>
      <c r="E64" s="180">
        <f>SUM(C64:D64)</f>
        <v>0</v>
      </c>
      <c r="F64" s="254">
        <f>R64+T64</f>
        <v>0</v>
      </c>
      <c r="G64" s="254">
        <f>S64+U64</f>
        <v>0</v>
      </c>
      <c r="H64" s="271">
        <f>SUM(F64:G64)</f>
        <v>0</v>
      </c>
      <c r="I64" s="275">
        <f t="shared" ref="I64:I65" si="33">IFERROR(H64/E64*100,0)</f>
        <v>0</v>
      </c>
      <c r="J64" s="192"/>
      <c r="K64" s="93"/>
      <c r="L64" s="92"/>
      <c r="M64" s="93"/>
      <c r="N64" s="92"/>
      <c r="O64" s="93"/>
      <c r="P64" s="92"/>
      <c r="Q64" s="93"/>
      <c r="R64" s="94"/>
      <c r="S64" s="78"/>
      <c r="T64" s="94"/>
      <c r="U64" s="78"/>
      <c r="V64" s="92"/>
      <c r="W64" s="95"/>
      <c r="X64" s="92"/>
      <c r="Y64" s="96"/>
      <c r="AA64" s="480"/>
      <c r="AB64" s="480"/>
      <c r="AC64" s="480"/>
      <c r="AD64" s="480"/>
      <c r="AE64" s="480"/>
      <c r="AF64" s="480"/>
      <c r="AG64" s="480"/>
      <c r="AH64" s="480"/>
      <c r="AI64" s="480"/>
      <c r="AJ64" s="480"/>
      <c r="AK64" s="480"/>
      <c r="AL64" s="480"/>
      <c r="AM64" s="480"/>
      <c r="AN64" s="480"/>
      <c r="AO64" s="480"/>
      <c r="AP64" s="480"/>
      <c r="AQ64" s="480"/>
      <c r="AR64" s="480"/>
      <c r="AS64" s="480"/>
      <c r="AT64" s="480"/>
      <c r="AU64" s="480"/>
      <c r="AV64" s="480"/>
      <c r="AW64" s="480"/>
      <c r="AX64" s="480"/>
      <c r="AY64" s="480"/>
      <c r="AZ64" s="480"/>
      <c r="BA64" s="480"/>
      <c r="BB64" s="480"/>
      <c r="BC64" s="480"/>
      <c r="BD64" s="480"/>
      <c r="BE64" s="480"/>
      <c r="BF64" s="480"/>
      <c r="BW64" s="481"/>
      <c r="BX64" s="481"/>
      <c r="BY64" s="481"/>
      <c r="BZ64" s="481"/>
      <c r="CA64" s="481"/>
      <c r="CB64" s="481"/>
      <c r="CC64" s="481"/>
      <c r="CD64" s="481"/>
      <c r="CE64" s="481"/>
      <c r="CF64" s="481"/>
      <c r="CG64" s="481"/>
      <c r="CH64" s="481"/>
      <c r="CI64" s="481"/>
      <c r="CJ64" s="481"/>
      <c r="CK64" s="481"/>
      <c r="CL64" s="481"/>
      <c r="CM64" s="481"/>
      <c r="CN64" s="481"/>
      <c r="CO64" s="481"/>
      <c r="CP64" s="481"/>
      <c r="CQ64" s="481"/>
      <c r="CR64" s="481"/>
      <c r="CS64" s="481"/>
      <c r="CT64" s="481"/>
      <c r="CU64" s="481"/>
      <c r="CV64" s="481"/>
      <c r="CW64" s="481"/>
      <c r="CX64" s="481"/>
      <c r="CY64" s="481"/>
      <c r="CZ64" s="481"/>
      <c r="DA64" s="481"/>
      <c r="DB64" s="481"/>
      <c r="DC64" s="481"/>
      <c r="DD64" s="481"/>
      <c r="DE64" s="481"/>
      <c r="DF64" s="481"/>
      <c r="DG64" s="481"/>
      <c r="DH64" s="481"/>
      <c r="DI64" s="481"/>
      <c r="DJ64" s="481"/>
      <c r="DK64" s="481"/>
      <c r="DL64" s="481"/>
      <c r="DM64" s="481"/>
      <c r="DN64" s="481"/>
      <c r="DO64" s="481"/>
      <c r="DP64" s="481"/>
    </row>
    <row r="65" spans="1:120" ht="48.75" customHeight="1" thickTop="1" thickBot="1" x14ac:dyDescent="0.3">
      <c r="A65" s="862" t="s">
        <v>217</v>
      </c>
      <c r="B65" s="863"/>
      <c r="C65" s="137">
        <f t="shared" ref="C65:E65" si="34">SUM(C56:C64)</f>
        <v>12</v>
      </c>
      <c r="D65" s="137">
        <f t="shared" si="34"/>
        <v>18</v>
      </c>
      <c r="E65" s="137">
        <f t="shared" si="34"/>
        <v>30</v>
      </c>
      <c r="F65" s="248">
        <f>SUM(F56:F64)</f>
        <v>12</v>
      </c>
      <c r="G65" s="273">
        <f>SUM(G56:G64)</f>
        <v>18</v>
      </c>
      <c r="H65" s="271">
        <f>SUM(F65:G65)</f>
        <v>30</v>
      </c>
      <c r="I65" s="275">
        <f t="shared" si="33"/>
        <v>100</v>
      </c>
      <c r="J65" s="249">
        <f>SUM(J56:J64)</f>
        <v>0</v>
      </c>
      <c r="K65" s="250">
        <f t="shared" ref="K65:M65" si="35">SUM(K56:K64)</f>
        <v>0</v>
      </c>
      <c r="L65" s="250">
        <f t="shared" si="35"/>
        <v>0</v>
      </c>
      <c r="M65" s="250">
        <f t="shared" si="35"/>
        <v>0</v>
      </c>
      <c r="N65" s="250">
        <f>SUM(N56:N64)</f>
        <v>0</v>
      </c>
      <c r="O65" s="250">
        <f t="shared" ref="O65:S65" si="36">SUM(O56:O64)</f>
        <v>6</v>
      </c>
      <c r="P65" s="250">
        <f t="shared" si="36"/>
        <v>12</v>
      </c>
      <c r="Q65" s="250">
        <f t="shared" si="36"/>
        <v>12</v>
      </c>
      <c r="R65" s="250">
        <f t="shared" si="36"/>
        <v>0</v>
      </c>
      <c r="S65" s="250">
        <f t="shared" si="36"/>
        <v>0</v>
      </c>
      <c r="T65" s="250">
        <f>SUM(T56:T64)</f>
        <v>0</v>
      </c>
      <c r="U65" s="250">
        <f t="shared" ref="U65:W65" si="37">SUM(U56:U64)</f>
        <v>0</v>
      </c>
      <c r="V65" s="250">
        <f t="shared" si="37"/>
        <v>0</v>
      </c>
      <c r="W65" s="251">
        <f t="shared" si="37"/>
        <v>0</v>
      </c>
      <c r="X65" s="252">
        <f>SUM(X56:X64)</f>
        <v>0</v>
      </c>
      <c r="Y65" s="253">
        <f t="shared" ref="Y65" si="38">SUM(Y56:Y64)</f>
        <v>0</v>
      </c>
      <c r="BF65" s="480"/>
      <c r="DP65" s="481"/>
    </row>
    <row r="66" spans="1:120" x14ac:dyDescent="0.25">
      <c r="BC66" s="480"/>
      <c r="BD66" s="480"/>
      <c r="BE66" s="480"/>
      <c r="BF66" s="480"/>
      <c r="DM66" s="481"/>
      <c r="DN66" s="481"/>
      <c r="DO66" s="481"/>
      <c r="DP66" s="481"/>
    </row>
    <row r="67" spans="1:120" ht="15.75" thickBot="1" x14ac:dyDescent="0.3">
      <c r="BC67" s="480"/>
      <c r="BD67" s="480"/>
      <c r="BE67" s="480"/>
      <c r="BF67" s="480"/>
      <c r="DM67" s="481"/>
      <c r="DN67" s="481"/>
      <c r="DO67" s="481"/>
      <c r="DP67" s="481"/>
    </row>
    <row r="68" spans="1:120" ht="16.5" customHeight="1" thickBot="1" x14ac:dyDescent="0.3">
      <c r="A68" s="792" t="s">
        <v>221</v>
      </c>
      <c r="B68" s="794"/>
      <c r="C68" s="794"/>
      <c r="D68" s="794"/>
      <c r="E68" s="794"/>
      <c r="F68" s="794"/>
      <c r="G68" s="794"/>
      <c r="H68" s="794"/>
      <c r="I68" s="794"/>
      <c r="J68" s="794"/>
      <c r="K68" s="755"/>
      <c r="R68" s="480"/>
      <c r="S68" s="480"/>
      <c r="T68" s="480"/>
      <c r="U68" s="480"/>
      <c r="V68" s="480"/>
      <c r="W68" s="480"/>
      <c r="X68" s="480"/>
      <c r="Y68" s="480"/>
      <c r="Z68" s="480"/>
      <c r="AA68" s="480"/>
      <c r="AB68" s="480"/>
      <c r="AC68" s="480"/>
      <c r="AD68" s="480"/>
      <c r="AE68" s="480"/>
      <c r="AF68" s="480"/>
      <c r="AG68" s="480"/>
      <c r="AH68" s="480"/>
      <c r="AI68" s="480"/>
      <c r="AJ68" s="480"/>
      <c r="AK68" s="480"/>
      <c r="AL68" s="480"/>
      <c r="AM68" s="480"/>
      <c r="AN68" s="480"/>
      <c r="AO68" s="480"/>
      <c r="AP68" s="480"/>
      <c r="AQ68" s="480"/>
      <c r="AR68" s="480"/>
      <c r="AS68" s="480"/>
      <c r="AT68" s="480"/>
      <c r="AU68" s="480"/>
      <c r="AV68" s="480"/>
      <c r="AW68" s="480"/>
      <c r="AX68" s="480"/>
      <c r="AY68" s="480"/>
      <c r="AZ68" s="480"/>
      <c r="BA68" s="480"/>
      <c r="BB68" s="480"/>
      <c r="BC68" s="480"/>
      <c r="BD68" s="480"/>
      <c r="BE68" s="480"/>
      <c r="BF68" s="480"/>
      <c r="CB68" s="481"/>
      <c r="CC68" s="481"/>
      <c r="CD68" s="481"/>
      <c r="CE68" s="481"/>
      <c r="CF68" s="481"/>
      <c r="CG68" s="481"/>
      <c r="CH68" s="481"/>
      <c r="CI68" s="481"/>
      <c r="CJ68" s="481"/>
      <c r="CK68" s="481"/>
      <c r="CL68" s="481"/>
      <c r="CM68" s="481"/>
      <c r="CN68" s="481"/>
      <c r="CO68" s="481"/>
      <c r="CP68" s="481"/>
      <c r="CQ68" s="481"/>
      <c r="CR68" s="481"/>
      <c r="CS68" s="481"/>
      <c r="CT68" s="481"/>
      <c r="CU68" s="481"/>
      <c r="CV68" s="481"/>
      <c r="CW68" s="481"/>
      <c r="CX68" s="481"/>
      <c r="CY68" s="481"/>
      <c r="CZ68" s="481"/>
      <c r="DA68" s="481"/>
      <c r="DB68" s="481"/>
      <c r="DC68" s="481"/>
      <c r="DD68" s="481"/>
      <c r="DE68" s="481"/>
      <c r="DF68" s="481"/>
      <c r="DG68" s="481"/>
      <c r="DH68" s="481"/>
      <c r="DI68" s="481"/>
      <c r="DJ68" s="481"/>
      <c r="DK68" s="481"/>
      <c r="DL68" s="481"/>
      <c r="DM68" s="481"/>
      <c r="DN68" s="481"/>
      <c r="DO68" s="481"/>
      <c r="DP68" s="481"/>
    </row>
    <row r="69" spans="1:120" ht="111" thickBot="1" x14ac:dyDescent="0.3">
      <c r="A69" s="867" t="s">
        <v>231</v>
      </c>
      <c r="B69" s="868"/>
      <c r="C69" s="868"/>
      <c r="D69" s="868"/>
      <c r="E69" s="869"/>
      <c r="F69" s="323" t="s">
        <v>232</v>
      </c>
      <c r="G69" s="323" t="s">
        <v>233</v>
      </c>
      <c r="H69" s="126" t="s">
        <v>234</v>
      </c>
      <c r="I69" s="120" t="s">
        <v>268</v>
      </c>
      <c r="J69" s="119" t="s">
        <v>269</v>
      </c>
      <c r="K69" s="119" t="s">
        <v>270</v>
      </c>
      <c r="L69" s="481"/>
      <c r="R69" s="480"/>
      <c r="S69" s="480"/>
      <c r="T69" s="480"/>
      <c r="U69" s="480"/>
      <c r="V69" s="480"/>
      <c r="W69" s="480"/>
      <c r="X69" s="480"/>
      <c r="Y69" s="480"/>
      <c r="Z69" s="480"/>
      <c r="AA69" s="480"/>
      <c r="AB69" s="480"/>
      <c r="AC69" s="480"/>
      <c r="AD69" s="480"/>
      <c r="AE69" s="480"/>
      <c r="AF69" s="480"/>
      <c r="AG69" s="480"/>
      <c r="AH69" s="480"/>
      <c r="AI69" s="480"/>
      <c r="AJ69" s="480"/>
      <c r="AK69" s="480"/>
      <c r="AL69" s="480"/>
      <c r="AM69" s="480"/>
      <c r="AN69" s="480"/>
      <c r="AO69" s="480"/>
      <c r="AP69" s="480"/>
      <c r="AQ69" s="480"/>
      <c r="AR69" s="480"/>
      <c r="AS69" s="480"/>
      <c r="AT69" s="480"/>
      <c r="AU69" s="480"/>
      <c r="AV69" s="480"/>
      <c r="AW69" s="480"/>
      <c r="AX69" s="480"/>
      <c r="AY69" s="480"/>
      <c r="AZ69" s="480"/>
      <c r="BA69" s="480"/>
      <c r="BB69" s="480"/>
      <c r="BC69" s="480"/>
      <c r="BD69" s="480"/>
      <c r="BE69" s="480"/>
      <c r="BF69" s="480"/>
      <c r="CB69" s="481"/>
      <c r="CC69" s="481"/>
      <c r="CD69" s="481"/>
      <c r="CE69" s="481"/>
      <c r="CF69" s="481"/>
      <c r="CG69" s="481"/>
      <c r="CH69" s="481"/>
      <c r="CI69" s="481"/>
      <c r="CJ69" s="481"/>
      <c r="CK69" s="481"/>
      <c r="CL69" s="481"/>
      <c r="CM69" s="481"/>
      <c r="CN69" s="481"/>
      <c r="CO69" s="481"/>
      <c r="CP69" s="481"/>
      <c r="CQ69" s="481"/>
      <c r="CR69" s="481"/>
      <c r="CS69" s="481"/>
      <c r="CT69" s="481"/>
      <c r="CU69" s="481"/>
      <c r="CV69" s="481"/>
      <c r="CW69" s="481"/>
      <c r="CX69" s="481"/>
      <c r="CY69" s="481"/>
      <c r="CZ69" s="481"/>
      <c r="DA69" s="481"/>
      <c r="DB69" s="481"/>
      <c r="DC69" s="481"/>
      <c r="DD69" s="481"/>
      <c r="DE69" s="481"/>
      <c r="DF69" s="481"/>
      <c r="DG69" s="481"/>
      <c r="DH69" s="481"/>
      <c r="DI69" s="481"/>
      <c r="DJ69" s="481"/>
      <c r="DK69" s="481"/>
      <c r="DL69" s="481"/>
      <c r="DM69" s="481"/>
      <c r="DN69" s="481"/>
      <c r="DO69" s="481"/>
      <c r="DP69" s="481"/>
    </row>
    <row r="70" spans="1:120" ht="15" customHeight="1" thickBot="1" x14ac:dyDescent="0.3">
      <c r="A70" s="870" t="s">
        <v>271</v>
      </c>
      <c r="B70" s="871"/>
      <c r="C70" s="871"/>
      <c r="D70" s="871"/>
      <c r="E70" s="872"/>
      <c r="F70" s="516">
        <f>'2021-22 ERC'!F168</f>
        <v>0</v>
      </c>
      <c r="G70" s="516">
        <f>'2021-22 ERC'!G168</f>
        <v>0</v>
      </c>
      <c r="H70" s="516">
        <f>'2021-22 ERC'!H168</f>
        <v>0</v>
      </c>
      <c r="I70" s="135">
        <f>SUM(E70:H70)</f>
        <v>0</v>
      </c>
      <c r="J70" s="276">
        <f>SUM(E71:H71)</f>
        <v>0</v>
      </c>
      <c r="K70" s="837">
        <f>IFERROR(J70/I70,0)</f>
        <v>0</v>
      </c>
      <c r="L70" s="481"/>
      <c r="R70" s="480"/>
      <c r="S70" s="480"/>
      <c r="T70" s="480"/>
      <c r="U70" s="480"/>
      <c r="V70" s="480"/>
      <c r="W70" s="480"/>
      <c r="X70" s="480"/>
      <c r="Y70" s="480"/>
      <c r="Z70" s="480"/>
      <c r="AA70" s="480"/>
      <c r="AB70" s="480"/>
      <c r="AC70" s="480"/>
      <c r="AD70" s="480"/>
      <c r="AE70" s="480"/>
      <c r="AF70" s="480"/>
      <c r="AG70" s="480"/>
      <c r="AH70" s="480"/>
      <c r="AI70" s="480"/>
      <c r="AJ70" s="480"/>
      <c r="AK70" s="480"/>
      <c r="AL70" s="480"/>
      <c r="AM70" s="480"/>
      <c r="AN70" s="480"/>
      <c r="AO70" s="480"/>
      <c r="AP70" s="480"/>
      <c r="AQ70" s="480"/>
      <c r="AR70" s="480"/>
      <c r="AS70" s="480"/>
      <c r="AT70" s="480"/>
      <c r="AU70" s="480"/>
      <c r="AV70" s="480"/>
      <c r="AW70" s="480"/>
      <c r="AX70" s="480"/>
      <c r="AY70" s="480"/>
      <c r="AZ70" s="480"/>
      <c r="BA70" s="480"/>
      <c r="BB70" s="480"/>
      <c r="BC70" s="480"/>
      <c r="BD70" s="480"/>
      <c r="BE70" s="480"/>
      <c r="BF70" s="480"/>
      <c r="CB70" s="481"/>
      <c r="CC70" s="481"/>
      <c r="CD70" s="481"/>
      <c r="CE70" s="481"/>
      <c r="CF70" s="481"/>
      <c r="CG70" s="481"/>
      <c r="CH70" s="481"/>
      <c r="CI70" s="481"/>
      <c r="CJ70" s="481"/>
      <c r="CK70" s="481"/>
      <c r="CL70" s="481"/>
      <c r="CM70" s="481"/>
      <c r="CN70" s="481"/>
      <c r="CO70" s="481"/>
      <c r="CP70" s="481"/>
      <c r="CQ70" s="481"/>
      <c r="CR70" s="481"/>
      <c r="CS70" s="481"/>
      <c r="CT70" s="481"/>
      <c r="CU70" s="481"/>
      <c r="CV70" s="481"/>
      <c r="CW70" s="481"/>
      <c r="CX70" s="481"/>
      <c r="CY70" s="481"/>
      <c r="CZ70" s="481"/>
      <c r="DA70" s="481"/>
      <c r="DB70" s="481"/>
      <c r="DC70" s="481"/>
      <c r="DD70" s="481"/>
      <c r="DE70" s="481"/>
      <c r="DF70" s="481"/>
      <c r="DG70" s="481"/>
      <c r="DH70" s="481"/>
      <c r="DI70" s="481"/>
      <c r="DJ70" s="481"/>
      <c r="DK70" s="481"/>
      <c r="DL70" s="481"/>
      <c r="DM70" s="481"/>
      <c r="DN70" s="481"/>
      <c r="DO70" s="481"/>
      <c r="DP70" s="481"/>
    </row>
    <row r="71" spans="1:120" ht="15" customHeight="1" thickBot="1" x14ac:dyDescent="0.3">
      <c r="A71" s="864" t="s">
        <v>272</v>
      </c>
      <c r="B71" s="857"/>
      <c r="C71" s="857"/>
      <c r="D71" s="857"/>
      <c r="E71" s="858"/>
      <c r="F71" s="185"/>
      <c r="G71" s="186"/>
      <c r="H71" s="187"/>
      <c r="I71" s="136"/>
      <c r="J71" s="277"/>
      <c r="K71" s="838"/>
      <c r="L71" s="481"/>
      <c r="R71" s="480"/>
      <c r="S71" s="480"/>
      <c r="T71" s="480"/>
      <c r="U71" s="480"/>
      <c r="V71" s="480"/>
      <c r="W71" s="480"/>
      <c r="X71" s="480"/>
      <c r="Y71" s="480"/>
      <c r="Z71" s="480"/>
      <c r="AA71" s="480"/>
      <c r="AB71" s="480"/>
      <c r="AC71" s="480"/>
      <c r="AD71" s="480"/>
      <c r="AE71" s="480"/>
      <c r="AF71" s="480"/>
      <c r="AG71" s="480"/>
      <c r="AH71" s="480"/>
      <c r="AI71" s="480"/>
      <c r="AJ71" s="480"/>
      <c r="AK71" s="480"/>
      <c r="AL71" s="480"/>
      <c r="AM71" s="480"/>
      <c r="AN71" s="480"/>
      <c r="AO71" s="480"/>
      <c r="AP71" s="480"/>
      <c r="AQ71" s="480"/>
      <c r="AR71" s="480"/>
      <c r="AS71" s="480"/>
      <c r="AT71" s="480"/>
      <c r="AU71" s="480"/>
      <c r="AV71" s="480"/>
      <c r="AW71" s="480"/>
      <c r="AX71" s="480"/>
      <c r="AY71" s="480"/>
      <c r="AZ71" s="480"/>
      <c r="BA71" s="480"/>
      <c r="BB71" s="480"/>
      <c r="BC71" s="480"/>
      <c r="BD71" s="480"/>
      <c r="BE71" s="480"/>
      <c r="BF71" s="480"/>
      <c r="CB71" s="481"/>
      <c r="CC71" s="481"/>
      <c r="CD71" s="481"/>
      <c r="CE71" s="481"/>
      <c r="CF71" s="481"/>
      <c r="CG71" s="481"/>
      <c r="CH71" s="481"/>
      <c r="CI71" s="481"/>
      <c r="CJ71" s="481"/>
      <c r="CK71" s="481"/>
      <c r="CL71" s="481"/>
      <c r="CM71" s="481"/>
      <c r="CN71" s="481"/>
      <c r="CO71" s="481"/>
      <c r="CP71" s="481"/>
      <c r="CQ71" s="481"/>
      <c r="CR71" s="481"/>
      <c r="CS71" s="481"/>
      <c r="CT71" s="481"/>
      <c r="CU71" s="481"/>
      <c r="CV71" s="481"/>
      <c r="CW71" s="481"/>
      <c r="CX71" s="481"/>
      <c r="CY71" s="481"/>
      <c r="CZ71" s="481"/>
      <c r="DA71" s="481"/>
      <c r="DB71" s="481"/>
      <c r="DC71" s="481"/>
      <c r="DD71" s="481"/>
      <c r="DE71" s="481"/>
      <c r="DF71" s="481"/>
      <c r="DG71" s="481"/>
      <c r="DH71" s="481"/>
      <c r="DI71" s="481"/>
      <c r="DJ71" s="481"/>
      <c r="DK71" s="481"/>
      <c r="DL71" s="481"/>
      <c r="DM71" s="481"/>
      <c r="DN71" s="481"/>
      <c r="DO71" s="481"/>
      <c r="DP71" s="481"/>
    </row>
    <row r="72" spans="1:120" ht="15" customHeight="1" thickBot="1" x14ac:dyDescent="0.3">
      <c r="A72" s="870" t="s">
        <v>273</v>
      </c>
      <c r="B72" s="871"/>
      <c r="C72" s="871"/>
      <c r="D72" s="871"/>
      <c r="E72" s="872"/>
      <c r="F72" s="517">
        <f>'2021-22 ERC'!F169</f>
        <v>0</v>
      </c>
      <c r="G72" s="517">
        <f>'2021-22 ERC'!G169</f>
        <v>0</v>
      </c>
      <c r="H72" s="517">
        <f>'2021-22 ERC'!H169</f>
        <v>0</v>
      </c>
      <c r="I72" s="135">
        <f>SUM(E72:H72)</f>
        <v>0</v>
      </c>
      <c r="J72" s="276">
        <f>SUM(E73:H73)</f>
        <v>0</v>
      </c>
      <c r="K72" s="837">
        <f>IFERROR(J72/I72,0)</f>
        <v>0</v>
      </c>
      <c r="L72" s="481"/>
      <c r="R72" s="480"/>
      <c r="S72" s="480"/>
      <c r="T72" s="480"/>
      <c r="U72" s="480"/>
      <c r="V72" s="480"/>
      <c r="W72" s="480"/>
      <c r="X72" s="480"/>
      <c r="Y72" s="480"/>
      <c r="Z72" s="480"/>
      <c r="AA72" s="480"/>
      <c r="AB72" s="480"/>
      <c r="AC72" s="480"/>
      <c r="AD72" s="480"/>
      <c r="AE72" s="480"/>
      <c r="AF72" s="480"/>
      <c r="AG72" s="480"/>
      <c r="AH72" s="480"/>
      <c r="AI72" s="480"/>
      <c r="AJ72" s="480"/>
      <c r="AK72" s="480"/>
      <c r="AL72" s="480"/>
      <c r="AM72" s="480"/>
      <c r="AN72" s="480"/>
      <c r="AO72" s="480"/>
      <c r="AP72" s="480"/>
      <c r="AQ72" s="480"/>
      <c r="AR72" s="480"/>
      <c r="AS72" s="480"/>
      <c r="AT72" s="480"/>
      <c r="AU72" s="480"/>
      <c r="AV72" s="480"/>
      <c r="AW72" s="480"/>
      <c r="AX72" s="480"/>
      <c r="AY72" s="480"/>
      <c r="AZ72" s="480"/>
      <c r="BA72" s="480"/>
      <c r="BB72" s="480"/>
      <c r="BC72" s="480"/>
      <c r="BD72" s="480"/>
      <c r="BE72" s="480"/>
      <c r="BF72" s="480"/>
      <c r="CB72" s="481"/>
      <c r="CC72" s="481"/>
      <c r="CD72" s="481"/>
      <c r="CE72" s="481"/>
      <c r="CF72" s="481"/>
      <c r="CG72" s="481"/>
      <c r="CH72" s="481"/>
      <c r="CI72" s="481"/>
      <c r="CJ72" s="481"/>
      <c r="CK72" s="481"/>
      <c r="CL72" s="481"/>
      <c r="CM72" s="481"/>
      <c r="CN72" s="481"/>
      <c r="CO72" s="481"/>
      <c r="CP72" s="481"/>
      <c r="CQ72" s="481"/>
      <c r="CR72" s="481"/>
      <c r="CS72" s="481"/>
      <c r="CT72" s="481"/>
      <c r="CU72" s="481"/>
      <c r="CV72" s="481"/>
      <c r="CW72" s="481"/>
      <c r="CX72" s="481"/>
      <c r="CY72" s="481"/>
      <c r="CZ72" s="481"/>
      <c r="DA72" s="481"/>
      <c r="DB72" s="481"/>
      <c r="DC72" s="481"/>
      <c r="DD72" s="481"/>
      <c r="DE72" s="481"/>
      <c r="DF72" s="481"/>
      <c r="DG72" s="481"/>
      <c r="DH72" s="481"/>
      <c r="DI72" s="481"/>
      <c r="DJ72" s="481"/>
      <c r="DK72" s="481"/>
      <c r="DL72" s="481"/>
      <c r="DM72" s="481"/>
      <c r="DN72" s="481"/>
      <c r="DO72" s="481"/>
      <c r="DP72" s="481"/>
    </row>
    <row r="73" spans="1:120" ht="15" customHeight="1" thickBot="1" x14ac:dyDescent="0.3">
      <c r="A73" s="865" t="s">
        <v>274</v>
      </c>
      <c r="B73" s="866"/>
      <c r="C73" s="866"/>
      <c r="D73" s="866"/>
      <c r="E73" s="805"/>
      <c r="F73" s="188"/>
      <c r="G73" s="189"/>
      <c r="H73" s="190"/>
      <c r="I73" s="136"/>
      <c r="J73" s="277"/>
      <c r="K73" s="838"/>
      <c r="L73" s="481"/>
      <c r="R73" s="480"/>
      <c r="S73" s="480"/>
      <c r="T73" s="480"/>
      <c r="U73" s="480"/>
      <c r="V73" s="480"/>
      <c r="W73" s="480"/>
      <c r="X73" s="480"/>
      <c r="Y73" s="480"/>
      <c r="Z73" s="480"/>
      <c r="AA73" s="480"/>
      <c r="AB73" s="480"/>
      <c r="AC73" s="480"/>
      <c r="AD73" s="480"/>
      <c r="AE73" s="480"/>
      <c r="AF73" s="480"/>
      <c r="AG73" s="480"/>
      <c r="AH73" s="480"/>
      <c r="AI73" s="480"/>
      <c r="AJ73" s="480"/>
      <c r="AK73" s="480"/>
      <c r="AL73" s="480"/>
      <c r="AM73" s="480"/>
      <c r="AN73" s="480"/>
      <c r="AO73" s="480"/>
      <c r="AP73" s="480"/>
      <c r="AQ73" s="480"/>
      <c r="AR73" s="480"/>
      <c r="AS73" s="480"/>
      <c r="AT73" s="480"/>
      <c r="AU73" s="480"/>
      <c r="AV73" s="480"/>
      <c r="AW73" s="480"/>
      <c r="AX73" s="480"/>
      <c r="AY73" s="480"/>
      <c r="AZ73" s="480"/>
      <c r="BA73" s="480"/>
      <c r="BB73" s="480"/>
      <c r="BC73" s="480"/>
      <c r="BD73" s="480"/>
      <c r="BE73" s="480"/>
      <c r="BF73" s="480"/>
      <c r="CB73" s="481"/>
      <c r="CC73" s="481"/>
      <c r="CD73" s="481"/>
      <c r="CE73" s="481"/>
      <c r="CF73" s="481"/>
      <c r="CG73" s="481"/>
      <c r="CH73" s="481"/>
      <c r="CI73" s="481"/>
      <c r="CJ73" s="481"/>
      <c r="CK73" s="481"/>
      <c r="CL73" s="481"/>
      <c r="CM73" s="481"/>
      <c r="CN73" s="481"/>
      <c r="CO73" s="481"/>
      <c r="CP73" s="481"/>
      <c r="CQ73" s="481"/>
      <c r="CR73" s="481"/>
      <c r="CS73" s="481"/>
      <c r="CT73" s="481"/>
      <c r="CU73" s="481"/>
      <c r="CV73" s="481"/>
      <c r="CW73" s="481"/>
      <c r="CX73" s="481"/>
      <c r="CY73" s="481"/>
      <c r="CZ73" s="481"/>
      <c r="DA73" s="481"/>
      <c r="DB73" s="481"/>
      <c r="DC73" s="481"/>
      <c r="DD73" s="481"/>
      <c r="DE73" s="481"/>
      <c r="DF73" s="481"/>
      <c r="DG73" s="481"/>
      <c r="DH73" s="481"/>
      <c r="DI73" s="481"/>
      <c r="DJ73" s="481"/>
      <c r="DK73" s="481"/>
      <c r="DL73" s="481"/>
      <c r="DM73" s="481"/>
      <c r="DN73" s="481"/>
      <c r="DO73" s="481"/>
      <c r="DP73" s="481"/>
    </row>
    <row r="74" spans="1:120" ht="15.75" customHeight="1" thickBot="1" x14ac:dyDescent="0.3">
      <c r="A74" s="855" t="s">
        <v>193</v>
      </c>
      <c r="B74" s="856"/>
      <c r="C74" s="856"/>
      <c r="D74" s="856"/>
      <c r="E74" s="856"/>
      <c r="F74" s="856"/>
      <c r="G74" s="856"/>
      <c r="H74" s="861"/>
      <c r="I74" s="312">
        <f>SUM(I70:I73)</f>
        <v>0</v>
      </c>
      <c r="J74" s="310">
        <f>SUM(J70:J73)</f>
        <v>0</v>
      </c>
      <c r="K74" s="311">
        <f>IFERROR(J74/I74,0)</f>
        <v>0</v>
      </c>
      <c r="L74" s="481"/>
      <c r="R74" s="480"/>
      <c r="S74" s="480"/>
      <c r="T74" s="480"/>
      <c r="U74" s="480"/>
      <c r="V74" s="480"/>
      <c r="W74" s="480"/>
      <c r="X74" s="480"/>
      <c r="Y74" s="480"/>
      <c r="Z74" s="480"/>
      <c r="AA74" s="480"/>
      <c r="AB74" s="480"/>
      <c r="AC74" s="480"/>
      <c r="AD74" s="480"/>
      <c r="AE74" s="480"/>
      <c r="AF74" s="480"/>
      <c r="AG74" s="480"/>
      <c r="AH74" s="480"/>
      <c r="AI74" s="480"/>
      <c r="AJ74" s="480"/>
      <c r="AK74" s="480"/>
      <c r="AL74" s="480"/>
      <c r="AM74" s="480"/>
      <c r="AN74" s="480"/>
      <c r="AO74" s="480"/>
      <c r="AP74" s="480"/>
      <c r="AQ74" s="480"/>
      <c r="AR74" s="480"/>
      <c r="AS74" s="480"/>
      <c r="AT74" s="480"/>
      <c r="AU74" s="480"/>
      <c r="AV74" s="480"/>
      <c r="AW74" s="480"/>
      <c r="AX74" s="480"/>
      <c r="AY74" s="480"/>
      <c r="AZ74" s="480"/>
      <c r="BA74" s="480"/>
      <c r="BB74" s="480"/>
      <c r="BC74" s="480"/>
      <c r="BD74" s="480"/>
      <c r="BE74" s="480"/>
      <c r="BF74" s="480"/>
      <c r="CB74" s="481"/>
      <c r="CC74" s="481"/>
      <c r="CD74" s="481"/>
      <c r="CE74" s="481"/>
      <c r="CF74" s="481"/>
      <c r="CG74" s="481"/>
      <c r="CH74" s="481"/>
      <c r="CI74" s="481"/>
      <c r="CJ74" s="481"/>
      <c r="CK74" s="481"/>
      <c r="CL74" s="481"/>
      <c r="CM74" s="481"/>
      <c r="CN74" s="481"/>
      <c r="CO74" s="481"/>
      <c r="CP74" s="481"/>
      <c r="CQ74" s="481"/>
      <c r="CR74" s="481"/>
      <c r="CS74" s="481"/>
      <c r="CT74" s="481"/>
      <c r="CU74" s="481"/>
      <c r="CV74" s="481"/>
      <c r="CW74" s="481"/>
      <c r="CX74" s="481"/>
      <c r="CY74" s="481"/>
      <c r="CZ74" s="481"/>
      <c r="DA74" s="481"/>
      <c r="DB74" s="481"/>
      <c r="DC74" s="481"/>
      <c r="DD74" s="481"/>
      <c r="DE74" s="481"/>
      <c r="DF74" s="481"/>
      <c r="DG74" s="481"/>
      <c r="DH74" s="481"/>
      <c r="DI74" s="481"/>
      <c r="DJ74" s="481"/>
      <c r="DK74" s="481"/>
      <c r="DL74" s="481"/>
      <c r="DM74" s="481"/>
      <c r="DN74" s="481"/>
      <c r="DO74" s="481"/>
      <c r="DP74" s="481"/>
    </row>
    <row r="75" spans="1:120" ht="15.75" customHeight="1" x14ac:dyDescent="0.25">
      <c r="A75" s="127"/>
      <c r="B75" s="127"/>
      <c r="C75" s="127"/>
      <c r="D75" s="127"/>
      <c r="E75" s="164"/>
      <c r="F75" s="518"/>
      <c r="G75" s="518"/>
      <c r="H75" s="518"/>
      <c r="R75" s="480"/>
      <c r="S75" s="480"/>
      <c r="T75" s="480"/>
      <c r="U75" s="480"/>
      <c r="V75" s="480"/>
      <c r="W75" s="480"/>
      <c r="X75" s="480"/>
      <c r="Y75" s="480"/>
      <c r="Z75" s="480"/>
      <c r="AA75" s="480"/>
      <c r="AB75" s="480"/>
      <c r="AC75" s="480"/>
      <c r="AD75" s="480"/>
      <c r="AE75" s="480"/>
      <c r="AF75" s="480"/>
      <c r="AG75" s="480"/>
      <c r="AH75" s="480"/>
      <c r="AI75" s="480"/>
      <c r="AJ75" s="480"/>
      <c r="AK75" s="480"/>
      <c r="AL75" s="480"/>
      <c r="AM75" s="480"/>
      <c r="AN75" s="480"/>
      <c r="AO75" s="480"/>
      <c r="AP75" s="480"/>
      <c r="AQ75" s="480"/>
      <c r="AR75" s="480"/>
      <c r="AS75" s="480"/>
      <c r="AT75" s="480"/>
      <c r="AU75" s="480"/>
      <c r="AV75" s="480"/>
      <c r="AW75" s="480"/>
      <c r="AX75" s="480"/>
      <c r="AY75" s="480"/>
      <c r="AZ75" s="480"/>
      <c r="BA75" s="480"/>
      <c r="BB75" s="480"/>
      <c r="BC75" s="480"/>
      <c r="BD75" s="480"/>
      <c r="BE75" s="480"/>
      <c r="BF75" s="480"/>
      <c r="CB75" s="481"/>
      <c r="CC75" s="481"/>
      <c r="CD75" s="481"/>
      <c r="CE75" s="481"/>
      <c r="CF75" s="481"/>
      <c r="CG75" s="481"/>
      <c r="CH75" s="481"/>
      <c r="CI75" s="481"/>
      <c r="CJ75" s="481"/>
      <c r="CK75" s="481"/>
      <c r="CL75" s="481"/>
      <c r="CM75" s="481"/>
      <c r="CN75" s="481"/>
      <c r="CO75" s="481"/>
      <c r="CP75" s="481"/>
      <c r="CQ75" s="481"/>
      <c r="CR75" s="481"/>
      <c r="CS75" s="481"/>
      <c r="CT75" s="481"/>
      <c r="CU75" s="481"/>
      <c r="CV75" s="481"/>
      <c r="CW75" s="481"/>
      <c r="CX75" s="481"/>
      <c r="CY75" s="481"/>
      <c r="CZ75" s="481"/>
      <c r="DA75" s="481"/>
      <c r="DB75" s="481"/>
      <c r="DC75" s="481"/>
      <c r="DD75" s="481"/>
      <c r="DE75" s="481"/>
      <c r="DF75" s="481"/>
      <c r="DG75" s="481"/>
      <c r="DH75" s="481"/>
      <c r="DI75" s="481"/>
      <c r="DJ75" s="481"/>
      <c r="DK75" s="481"/>
      <c r="DL75" s="481"/>
      <c r="DM75" s="481"/>
      <c r="DN75" s="481"/>
      <c r="DO75" s="481"/>
      <c r="DP75" s="481"/>
    </row>
    <row r="76" spans="1:120" x14ac:dyDescent="0.25">
      <c r="BC76" s="480"/>
      <c r="BD76" s="480"/>
      <c r="BE76" s="480"/>
      <c r="BF76" s="480"/>
      <c r="DM76" s="481"/>
      <c r="DN76" s="481"/>
      <c r="DO76" s="481"/>
      <c r="DP76" s="481"/>
    </row>
    <row r="77" spans="1:120" x14ac:dyDescent="0.25">
      <c r="BC77" s="480"/>
      <c r="BD77" s="480"/>
      <c r="BE77" s="480"/>
      <c r="BF77" s="480"/>
      <c r="DM77" s="481"/>
      <c r="DN77" s="481"/>
      <c r="DO77" s="481"/>
      <c r="DP77" s="481"/>
    </row>
  </sheetData>
  <sheetProtection algorithmName="SHA-512" hashValue="KvxV9bTV5nwyICstlU0BD8XzkDo8XFZrK6l4Q7Y+yHNWzc4ACMMotPaTADBHvw7eZ+0haAxJEpx65n1FLmGo2A==" saltValue="O6dW9KLV7Nnssgqw/WYdwA==" spinCount="100000" sheet="1" formatCells="0" formatColumns="0" formatRows="0" selectLockedCells="1"/>
  <mergeCells count="75">
    <mergeCell ref="A1:W1"/>
    <mergeCell ref="A2:B8"/>
    <mergeCell ref="A10:B12"/>
    <mergeCell ref="C10:E10"/>
    <mergeCell ref="F10:H10"/>
    <mergeCell ref="I10:I12"/>
    <mergeCell ref="J10:K10"/>
    <mergeCell ref="L10:M10"/>
    <mergeCell ref="N10:O10"/>
    <mergeCell ref="P10:Q10"/>
    <mergeCell ref="R10:S10"/>
    <mergeCell ref="T10:U10"/>
    <mergeCell ref="V10:W10"/>
    <mergeCell ref="X10:Y10"/>
    <mergeCell ref="C11:E11"/>
    <mergeCell ref="F11:H11"/>
    <mergeCell ref="J11:K11"/>
    <mergeCell ref="L11:M11"/>
    <mergeCell ref="N11:O11"/>
    <mergeCell ref="P11:Q11"/>
    <mergeCell ref="A28:B28"/>
    <mergeCell ref="R11:S11"/>
    <mergeCell ref="T11:U11"/>
    <mergeCell ref="V11:W11"/>
    <mergeCell ref="X11:Y11"/>
    <mergeCell ref="A13:B13"/>
    <mergeCell ref="A14:B14"/>
    <mergeCell ref="A15:A16"/>
    <mergeCell ref="A17:A21"/>
    <mergeCell ref="A22:B22"/>
    <mergeCell ref="A23:A26"/>
    <mergeCell ref="A27:B27"/>
    <mergeCell ref="T39:U39"/>
    <mergeCell ref="A29:A35"/>
    <mergeCell ref="A36:B36"/>
    <mergeCell ref="A39:B41"/>
    <mergeCell ref="C39:E39"/>
    <mergeCell ref="F39:H39"/>
    <mergeCell ref="I39:I41"/>
    <mergeCell ref="A46:A50"/>
    <mergeCell ref="V39:W39"/>
    <mergeCell ref="X39:Y39"/>
    <mergeCell ref="C40:E40"/>
    <mergeCell ref="F40:H40"/>
    <mergeCell ref="J40:K40"/>
    <mergeCell ref="L40:M40"/>
    <mergeCell ref="N40:O40"/>
    <mergeCell ref="P40:Q40"/>
    <mergeCell ref="R40:S40"/>
    <mergeCell ref="T40:U40"/>
    <mergeCell ref="J39:K39"/>
    <mergeCell ref="L39:M39"/>
    <mergeCell ref="N39:O39"/>
    <mergeCell ref="P39:Q39"/>
    <mergeCell ref="R39:S39"/>
    <mergeCell ref="V40:W40"/>
    <mergeCell ref="X40:Y40"/>
    <mergeCell ref="A42:B42"/>
    <mergeCell ref="A43:B43"/>
    <mergeCell ref="A44:A45"/>
    <mergeCell ref="A74:H74"/>
    <mergeCell ref="A68:K68"/>
    <mergeCell ref="A51:B51"/>
    <mergeCell ref="A52:A55"/>
    <mergeCell ref="A56:B56"/>
    <mergeCell ref="A57:B57"/>
    <mergeCell ref="A58:A64"/>
    <mergeCell ref="A65:B65"/>
    <mergeCell ref="K70:K71"/>
    <mergeCell ref="K72:K73"/>
    <mergeCell ref="A71:E71"/>
    <mergeCell ref="A73:E73"/>
    <mergeCell ref="A69:E69"/>
    <mergeCell ref="A70:E70"/>
    <mergeCell ref="A72:E72"/>
  </mergeCells>
  <pageMargins left="0.70866141732283472" right="0.70866141732283472" top="0.74803149606299213" bottom="0.74803149606299213" header="0.31496062992125984" footer="0.31496062992125984"/>
  <pageSetup paperSize="8" scale="6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F6629D0DDA2034FBFFD1FE567F61517" ma:contentTypeVersion="6" ma:contentTypeDescription="Create a new document." ma:contentTypeScope="" ma:versionID="a36799fc183e5228c4d685990871d984">
  <xsd:schema xmlns:xsd="http://www.w3.org/2001/XMLSchema" xmlns:xs="http://www.w3.org/2001/XMLSchema" xmlns:p="http://schemas.microsoft.com/office/2006/metadata/properties" xmlns:ns2="f0b6ab52-5f7a-442f-8a88-3e59add7949a" xmlns:ns3="44b42eda-dc36-4fda-9878-7ef2e2d545e6" targetNamespace="http://schemas.microsoft.com/office/2006/metadata/properties" ma:root="true" ma:fieldsID="01b38e91bfd9170127fde85181dead01" ns2:_="" ns3:_="">
    <xsd:import namespace="f0b6ab52-5f7a-442f-8a88-3e59add7949a"/>
    <xsd:import namespace="44b42eda-dc36-4fda-9878-7ef2e2d545e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b6ab52-5f7a-442f-8a88-3e59add794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b42eda-dc36-4fda-9878-7ef2e2d545e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645673-3192-42A3-99ED-3DFCB72E0C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b6ab52-5f7a-442f-8a88-3e59add7949a"/>
    <ds:schemaRef ds:uri="44b42eda-dc36-4fda-9878-7ef2e2d545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12F4E5-0C20-4584-8611-BA94CC1B1111}">
  <ds:schemaRefs>
    <ds:schemaRef ds:uri="http://purl.org/dc/dcmitype/"/>
    <ds:schemaRef ds:uri="44b42eda-dc36-4fda-9878-7ef2e2d545e6"/>
    <ds:schemaRef ds:uri="http://purl.org/dc/elements/1.1/"/>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f0b6ab52-5f7a-442f-8a88-3e59add7949a"/>
    <ds:schemaRef ds:uri="http://schemas.microsoft.com/office/2006/metadata/properties"/>
  </ds:schemaRefs>
</ds:datastoreItem>
</file>

<file path=customXml/itemProps3.xml><?xml version="1.0" encoding="utf-8"?>
<ds:datastoreItem xmlns:ds="http://schemas.openxmlformats.org/officeDocument/2006/customXml" ds:itemID="{4BC61850-44B4-49BE-B391-BAA73636A6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CDP PR Cover Sheet</vt:lpstr>
      <vt:lpstr>Residual Progress Summary</vt:lpstr>
      <vt:lpstr>Qualifications Progress Summary</vt:lpstr>
      <vt:lpstr>Prison Service Delivery</vt:lpstr>
      <vt:lpstr>Employers Progress Summary</vt:lpstr>
      <vt:lpstr>Social Inclusion Progress Summa</vt:lpstr>
      <vt:lpstr>Notes</vt:lpstr>
      <vt:lpstr>Prog. Report ERC - 21-22 Quals</vt:lpstr>
      <vt:lpstr>Prog. Report ERC - Resid Quals</vt:lpstr>
      <vt:lpstr>Prog. Report ERC - PSSA</vt:lpstr>
      <vt:lpstr>2021-22 ERC</vt:lpstr>
      <vt:lpstr>Sheet1</vt:lpstr>
    </vt:vector>
  </TitlesOfParts>
  <Manager/>
  <Company>NICS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Heather Sampson</dc:creator>
  <cp:keywords/>
  <dc:description/>
  <cp:lastModifiedBy>Andrea Browne (AndreaBrowne)</cp:lastModifiedBy>
  <cp:revision/>
  <dcterms:created xsi:type="dcterms:W3CDTF">2019-11-26T10:58:48Z</dcterms:created>
  <dcterms:modified xsi:type="dcterms:W3CDTF">2022-08-12T13:37:54Z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0x0101000F6629D0DDA2034FBFFD1FE567F61517</vt:lpwstr>
  </property>
</Properties>
</file>